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workbookProtection workbookAlgorithmName="SHA-512" workbookHashValue="n6FV7HyPlfefRar6AZ3dGmm/21msW0IHiCPCx4qobq2L8dUmG+KVwC5EmojOAAa3Q3YI0g+xXhwZ4NA/BEcfiA==" workbookSaltValue="p10bY076lPnr0qb//dTpbg==" workbookSpinCount="100000" lockStructure="1"/>
  <bookViews>
    <workbookView xWindow="0" yWindow="0" windowWidth="20490" windowHeight="7650" tabRatio="612"/>
  </bookViews>
  <sheets>
    <sheet name="کاربرگ ورود اطلاعات" sheetId="1" r:id="rId1"/>
    <sheet name="جدول محاسبه حق شغل" sheetId="11" r:id="rId2"/>
    <sheet name="جدول محاسبه حق شاغل" sheetId="7" r:id="rId3"/>
    <sheet name="جدول محاسبات" sheetId="12" r:id="rId4"/>
    <sheet name="کاربرگ قرارداد" sheetId="9" r:id="rId5"/>
    <sheet name="محاسبات" sheetId="2" state="veryHidden" r:id="rId6"/>
    <sheet name="حکم کارگزینی" sheetId="8" state="veryHidden" r:id="rId7"/>
    <sheet name="Sheet1" sheetId="10" state="veryHidden" r:id="rId8"/>
    <sheet name="حکم" sheetId="4" state="veryHidden" r:id="rId9"/>
    <sheet name="فیش حقوقی" sheetId="3" state="veryHidden" r:id="rId10"/>
    <sheet name="راهنما" sheetId="6" state="veryHidden" r:id="rId11"/>
  </sheets>
  <definedNames>
    <definedName name="_xlnm.Print_Area" localSheetId="3">'جدول محاسبات'!$B$1:$J$36</definedName>
    <definedName name="_xlnm.Print_Area" localSheetId="2">'جدول محاسبه حق شاغل'!$B$1:$W$23</definedName>
    <definedName name="_xlnm.Print_Area" localSheetId="1">'جدول محاسبه حق شغل'!$B$1:$H$14</definedName>
    <definedName name="_xlnm.Print_Area" localSheetId="9">'فیش حقوقی'!$A$1:$E$19</definedName>
    <definedName name="_xlnm.Print_Area" localSheetId="0">'کاربرگ ورود اطلاعات'!$B$1:$I$25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2" l="1"/>
  <c r="F22" i="12"/>
  <c r="F26" i="12" s="1"/>
  <c r="F30" i="12"/>
  <c r="E15" i="12"/>
  <c r="G15" i="12" s="1"/>
  <c r="H15" i="12" s="1"/>
  <c r="C180" i="2"/>
  <c r="D180" i="2"/>
  <c r="G12" i="11"/>
  <c r="H12" i="11" s="1"/>
  <c r="E3" i="11"/>
  <c r="D3" i="11"/>
  <c r="C3" i="11"/>
  <c r="C8" i="1"/>
  <c r="F15" i="12" l="1"/>
  <c r="I15" i="12"/>
  <c r="J15" i="12" s="1"/>
  <c r="I164" i="10" l="1"/>
  <c r="H164" i="10"/>
  <c r="I163" i="10"/>
  <c r="H163" i="10"/>
  <c r="I162" i="10"/>
  <c r="H162" i="10"/>
  <c r="I161" i="10"/>
  <c r="H161" i="10"/>
  <c r="I160" i="10"/>
  <c r="H160" i="10"/>
  <c r="I159" i="10"/>
  <c r="H159" i="10"/>
  <c r="I158" i="10"/>
  <c r="H158" i="10"/>
  <c r="I157" i="10"/>
  <c r="H157" i="10"/>
  <c r="I156" i="10"/>
  <c r="H156" i="10"/>
  <c r="I155" i="10"/>
  <c r="H155" i="10"/>
  <c r="I154" i="10"/>
  <c r="H154" i="10"/>
  <c r="I153" i="10"/>
  <c r="H153" i="10"/>
  <c r="I152" i="10"/>
  <c r="H152" i="10"/>
  <c r="I151" i="10"/>
  <c r="H151" i="10"/>
  <c r="I150" i="10"/>
  <c r="H150" i="10"/>
  <c r="I149" i="10"/>
  <c r="H149" i="10"/>
  <c r="I148" i="10"/>
  <c r="H148" i="10"/>
  <c r="I147" i="10"/>
  <c r="H147" i="10"/>
  <c r="I146" i="10"/>
  <c r="H146" i="10"/>
  <c r="I145" i="10"/>
  <c r="H145" i="10"/>
  <c r="I144" i="10"/>
  <c r="H144" i="10"/>
  <c r="I143" i="10"/>
  <c r="H143" i="10"/>
  <c r="I142" i="10"/>
  <c r="H142" i="10"/>
  <c r="I141" i="10"/>
  <c r="H141" i="10"/>
  <c r="I140" i="10"/>
  <c r="H140" i="10"/>
  <c r="I139" i="10"/>
  <c r="H139" i="10"/>
  <c r="I138" i="10"/>
  <c r="H138" i="10"/>
  <c r="I137" i="10"/>
  <c r="H137" i="10"/>
  <c r="I136" i="10"/>
  <c r="H136" i="10"/>
  <c r="I135" i="10"/>
  <c r="H135" i="10"/>
  <c r="I134" i="10"/>
  <c r="H134" i="10"/>
  <c r="I133" i="10"/>
  <c r="H133" i="10"/>
  <c r="I132" i="10"/>
  <c r="H132" i="10"/>
  <c r="I131" i="10"/>
  <c r="H131" i="10"/>
  <c r="I130" i="10"/>
  <c r="H130" i="10"/>
  <c r="I129" i="10"/>
  <c r="H129" i="10"/>
  <c r="I128" i="10"/>
  <c r="H128" i="10"/>
  <c r="I127" i="10"/>
  <c r="H127" i="10"/>
  <c r="I126" i="10"/>
  <c r="H126" i="10"/>
  <c r="I125" i="10"/>
  <c r="H125" i="10"/>
  <c r="I124" i="10"/>
  <c r="H124" i="10"/>
  <c r="I123" i="10"/>
  <c r="H123" i="10"/>
  <c r="I122" i="10"/>
  <c r="H122" i="10"/>
  <c r="I121" i="10"/>
  <c r="H121" i="10"/>
  <c r="I120" i="10"/>
  <c r="H120" i="10"/>
  <c r="I165" i="10" l="1"/>
  <c r="E6" i="12" s="1"/>
  <c r="G6" i="12" s="1"/>
  <c r="M110" i="10"/>
  <c r="M113" i="10" s="1"/>
  <c r="M109" i="10"/>
  <c r="M108" i="10"/>
  <c r="M107" i="10"/>
  <c r="G111" i="10"/>
  <c r="G113" i="10" s="1"/>
  <c r="G110" i="10"/>
  <c r="G109" i="10"/>
  <c r="G108" i="10"/>
  <c r="G107" i="10"/>
  <c r="E105" i="10"/>
  <c r="I6" i="12" l="1"/>
  <c r="J6" i="12" s="1"/>
  <c r="H6" i="12"/>
  <c r="F6" i="12"/>
  <c r="F16" i="8"/>
  <c r="E144" i="2"/>
  <c r="G19" i="9"/>
  <c r="H19" i="9" s="1"/>
  <c r="E112" i="2"/>
  <c r="C112" i="2"/>
  <c r="C113" i="2"/>
  <c r="G112" i="2"/>
  <c r="G113" i="2"/>
  <c r="J80" i="10" l="1"/>
  <c r="I80" i="10"/>
  <c r="H80" i="10"/>
  <c r="E80" i="10"/>
  <c r="D80" i="10"/>
  <c r="C80" i="10"/>
  <c r="F61" i="10"/>
  <c r="R10" i="10" l="1"/>
  <c r="I8" i="10" l="1"/>
  <c r="K8" i="10"/>
  <c r="I9" i="10"/>
  <c r="K9" i="10"/>
  <c r="I10" i="10"/>
  <c r="K10" i="10"/>
  <c r="I11" i="10"/>
  <c r="K11" i="10"/>
  <c r="I12" i="10"/>
  <c r="K12" i="10"/>
  <c r="I13" i="10"/>
  <c r="K13" i="10"/>
  <c r="E34" i="10"/>
  <c r="F34" i="10"/>
  <c r="G34" i="10"/>
  <c r="H34" i="10"/>
  <c r="I34" i="10"/>
  <c r="J34" i="10"/>
  <c r="E35" i="10"/>
  <c r="W35" i="10" s="1"/>
  <c r="AD35" i="10" s="1"/>
  <c r="F35" i="10"/>
  <c r="X35" i="10" s="1"/>
  <c r="G35" i="10"/>
  <c r="Y35" i="10" s="1"/>
  <c r="H35" i="10"/>
  <c r="AR35" i="10" s="1"/>
  <c r="I35" i="10"/>
  <c r="AS35" i="10" s="1"/>
  <c r="J35" i="10"/>
  <c r="AT35" i="10" s="1"/>
  <c r="BS35" i="10"/>
  <c r="CH35" i="10"/>
  <c r="CZ35" i="10"/>
  <c r="DN35" i="10"/>
  <c r="W37" i="10"/>
  <c r="E39" i="10"/>
  <c r="F39" i="10"/>
  <c r="G39" i="10"/>
  <c r="H39" i="10"/>
  <c r="I39" i="10"/>
  <c r="J39" i="10"/>
  <c r="E40" i="10"/>
  <c r="F40" i="10"/>
  <c r="X40" i="10" s="1"/>
  <c r="G40" i="10"/>
  <c r="Y40" i="10" s="1"/>
  <c r="H40" i="10"/>
  <c r="AR40" i="10" s="1"/>
  <c r="AU40" i="10" s="1"/>
  <c r="AX40" i="10" s="1"/>
  <c r="I40" i="10"/>
  <c r="AS40" i="10" s="1"/>
  <c r="J40" i="10"/>
  <c r="AT40" i="10" s="1"/>
  <c r="BS40" i="10"/>
  <c r="CH40" i="10"/>
  <c r="CZ40" i="10"/>
  <c r="DN40" i="10"/>
  <c r="Z46" i="10"/>
  <c r="E49" i="10"/>
  <c r="F49" i="10"/>
  <c r="G49" i="10"/>
  <c r="H49" i="10"/>
  <c r="I49" i="10"/>
  <c r="J49" i="10"/>
  <c r="E50" i="10"/>
  <c r="W50" i="10" s="1"/>
  <c r="F50" i="10"/>
  <c r="X50" i="10" s="1"/>
  <c r="G50" i="10"/>
  <c r="Y50" i="10" s="1"/>
  <c r="H50" i="10"/>
  <c r="I50" i="10"/>
  <c r="AS50" i="10" s="1"/>
  <c r="J50" i="10"/>
  <c r="AT50" i="10" s="1"/>
  <c r="BS50" i="10"/>
  <c r="CH50" i="10"/>
  <c r="CZ50" i="10"/>
  <c r="DN50" i="10"/>
  <c r="K40" i="10" l="1"/>
  <c r="N40" i="10" s="1"/>
  <c r="Q40" i="10" s="1"/>
  <c r="T40" i="10" s="1"/>
  <c r="K34" i="10"/>
  <c r="N34" i="10" s="1"/>
  <c r="Q34" i="10" s="1"/>
  <c r="T34" i="10" s="1"/>
  <c r="K39" i="10"/>
  <c r="N39" i="10" s="1"/>
  <c r="Q39" i="10" s="1"/>
  <c r="T39" i="10" s="1"/>
  <c r="K50" i="10"/>
  <c r="N50" i="10" s="1"/>
  <c r="W40" i="10"/>
  <c r="AC40" i="10" s="1"/>
  <c r="AF40" i="10" s="1"/>
  <c r="AI40" i="10" s="1"/>
  <c r="AL40" i="10" s="1"/>
  <c r="CP50" i="10"/>
  <c r="DT50" i="10"/>
  <c r="AR50" i="10"/>
  <c r="AU50" i="10" s="1"/>
  <c r="AX50" i="10" s="1"/>
  <c r="BA50" i="10" s="1"/>
  <c r="BD50" i="10" s="1"/>
  <c r="AC50" i="10"/>
  <c r="AF50" i="10" s="1"/>
  <c r="AI50" i="10" s="1"/>
  <c r="AL50" i="10" s="1"/>
  <c r="AD50" i="10"/>
  <c r="AE50" i="10" s="1"/>
  <c r="AH50" i="10" s="1"/>
  <c r="DT35" i="10"/>
  <c r="CN35" i="10"/>
  <c r="CP35" i="10"/>
  <c r="DU35" i="10"/>
  <c r="DV35" i="10"/>
  <c r="CO50" i="10"/>
  <c r="AC35" i="10"/>
  <c r="AF35" i="10" s="1"/>
  <c r="K49" i="10"/>
  <c r="N49" i="10" s="1"/>
  <c r="Q49" i="10" s="1"/>
  <c r="T49" i="10" s="1"/>
  <c r="E46" i="10" s="1"/>
  <c r="J66" i="10" s="1"/>
  <c r="CO35" i="10"/>
  <c r="K14" i="10"/>
  <c r="G10" i="11" s="1"/>
  <c r="L50" i="10"/>
  <c r="M50" i="10" s="1"/>
  <c r="P50" i="10" s="1"/>
  <c r="L14" i="10"/>
  <c r="H10" i="11" s="1"/>
  <c r="DU50" i="10"/>
  <c r="L35" i="10"/>
  <c r="M35" i="10" s="1"/>
  <c r="P35" i="10" s="1"/>
  <c r="L39" i="10"/>
  <c r="M39" i="10" s="1"/>
  <c r="P39" i="10" s="1"/>
  <c r="L40" i="10"/>
  <c r="M40" i="10" s="1"/>
  <c r="P40" i="10" s="1"/>
  <c r="AU35" i="10"/>
  <c r="AX35" i="10" s="1"/>
  <c r="AV35" i="10"/>
  <c r="Q50" i="10"/>
  <c r="T50" i="10" s="1"/>
  <c r="AI35" i="10"/>
  <c r="AL35" i="10" s="1"/>
  <c r="BA40" i="10"/>
  <c r="BD40" i="10" s="1"/>
  <c r="AG35" i="10"/>
  <c r="AE35" i="10"/>
  <c r="AH35" i="10" s="1"/>
  <c r="AV40" i="10"/>
  <c r="CN50" i="10"/>
  <c r="L49" i="10"/>
  <c r="K35" i="10"/>
  <c r="N35" i="10" s="1"/>
  <c r="L34" i="10"/>
  <c r="DV50" i="10"/>
  <c r="DH40" i="10"/>
  <c r="DG40" i="10"/>
  <c r="DF40" i="10"/>
  <c r="G82" i="10"/>
  <c r="F82" i="10"/>
  <c r="E82" i="10"/>
  <c r="D82" i="10"/>
  <c r="C82" i="10"/>
  <c r="B82" i="10"/>
  <c r="N100" i="10"/>
  <c r="N97" i="10"/>
  <c r="T95" i="10"/>
  <c r="G88" i="10"/>
  <c r="F88" i="10"/>
  <c r="D84" i="10"/>
  <c r="G86" i="10"/>
  <c r="F86" i="10"/>
  <c r="E88" i="10"/>
  <c r="D90" i="10"/>
  <c r="C84" i="10"/>
  <c r="B84" i="10"/>
  <c r="AD40" i="10" l="1"/>
  <c r="AE40" i="10" s="1"/>
  <c r="AH40" i="10" s="1"/>
  <c r="AV50" i="10"/>
  <c r="AY50" i="10" s="1"/>
  <c r="BB50" i="10" s="1"/>
  <c r="O50" i="10"/>
  <c r="R50" i="10" s="1"/>
  <c r="S50" i="10" s="1"/>
  <c r="V50" i="10" s="1"/>
  <c r="E72" i="10"/>
  <c r="AG50" i="10"/>
  <c r="AJ50" i="10" s="1"/>
  <c r="AK50" i="10" s="1"/>
  <c r="AN50" i="10" s="1"/>
  <c r="AJ35" i="10"/>
  <c r="AK35" i="10" s="1"/>
  <c r="AN35" i="10" s="1"/>
  <c r="O35" i="10"/>
  <c r="R35" i="10" s="1"/>
  <c r="O39" i="10"/>
  <c r="R39" i="10" s="1"/>
  <c r="U39" i="10" s="1"/>
  <c r="O40" i="10"/>
  <c r="R40" i="10" s="1"/>
  <c r="U40" i="10" s="1"/>
  <c r="AW40" i="10"/>
  <c r="AZ40" i="10" s="1"/>
  <c r="AY40" i="10"/>
  <c r="BB40" i="10" s="1"/>
  <c r="BG40" i="10"/>
  <c r="DJ40" i="10"/>
  <c r="AY35" i="10"/>
  <c r="BB35" i="10" s="1"/>
  <c r="AW35" i="10"/>
  <c r="AZ35" i="10" s="1"/>
  <c r="CR50" i="10"/>
  <c r="BG50" i="10"/>
  <c r="DJ50" i="10"/>
  <c r="BA35" i="10"/>
  <c r="BD35" i="10" s="1"/>
  <c r="O49" i="10"/>
  <c r="R49" i="10" s="1"/>
  <c r="M49" i="10"/>
  <c r="P49" i="10" s="1"/>
  <c r="Q35" i="10"/>
  <c r="T35" i="10" s="1"/>
  <c r="AW50" i="10"/>
  <c r="AZ50" i="10" s="1"/>
  <c r="O34" i="10"/>
  <c r="R34" i="10" s="1"/>
  <c r="M34" i="10"/>
  <c r="P34" i="10" s="1"/>
  <c r="CR40" i="10"/>
  <c r="H37" i="10"/>
  <c r="E37" i="10"/>
  <c r="H46" i="10"/>
  <c r="I82" i="10"/>
  <c r="L82" i="10" s="1"/>
  <c r="H82" i="10"/>
  <c r="K82" i="10" s="1"/>
  <c r="I84" i="10"/>
  <c r="H84" i="10"/>
  <c r="K84" i="10" s="1"/>
  <c r="D92" i="10"/>
  <c r="E86" i="10"/>
  <c r="C88" i="10"/>
  <c r="D91" i="10"/>
  <c r="B88" i="10"/>
  <c r="I88" i="10" s="1"/>
  <c r="D88" i="10"/>
  <c r="AG40" i="10" l="1"/>
  <c r="AJ40" i="10" s="1"/>
  <c r="AK40" i="10" s="1"/>
  <c r="AN40" i="10" s="1"/>
  <c r="U50" i="10"/>
  <c r="AM35" i="10"/>
  <c r="S39" i="10"/>
  <c r="V39" i="10" s="1"/>
  <c r="J82" i="10"/>
  <c r="M82" i="10" s="1"/>
  <c r="AM50" i="10"/>
  <c r="S40" i="10"/>
  <c r="V40" i="10" s="1"/>
  <c r="BG35" i="10"/>
  <c r="DJ35" i="10"/>
  <c r="BE40" i="10"/>
  <c r="BC40" i="10"/>
  <c r="BF40" i="10" s="1"/>
  <c r="BC35" i="10"/>
  <c r="BF35" i="10" s="1"/>
  <c r="CT35" i="10" s="1"/>
  <c r="BE35" i="10"/>
  <c r="BE50" i="10"/>
  <c r="BC50" i="10"/>
  <c r="BF50" i="10" s="1"/>
  <c r="DA40" i="10"/>
  <c r="DD40" i="10"/>
  <c r="CR35" i="10"/>
  <c r="DR50" i="10"/>
  <c r="U35" i="10"/>
  <c r="S35" i="10"/>
  <c r="V35" i="10" s="1"/>
  <c r="DD50" i="10"/>
  <c r="S34" i="10"/>
  <c r="V34" i="10" s="1"/>
  <c r="U34" i="10"/>
  <c r="J65" i="10"/>
  <c r="U49" i="10"/>
  <c r="F46" i="10" s="1"/>
  <c r="K66" i="10" s="1"/>
  <c r="S49" i="10"/>
  <c r="V49" i="10" s="1"/>
  <c r="G46" i="10" s="1"/>
  <c r="L66" i="10" s="1"/>
  <c r="K37" i="10"/>
  <c r="DR40" i="10"/>
  <c r="DO40" i="10" s="1"/>
  <c r="DT40" i="10" s="1"/>
  <c r="O82" i="10"/>
  <c r="N82" i="10"/>
  <c r="Q82" i="10" s="1"/>
  <c r="F6" i="11" s="1"/>
  <c r="H88" i="10"/>
  <c r="K88" i="10" s="1"/>
  <c r="H86" i="10"/>
  <c r="K86" i="10" s="1"/>
  <c r="I86" i="10"/>
  <c r="L88" i="10"/>
  <c r="J88" i="10"/>
  <c r="M88" i="10" s="1"/>
  <c r="N84" i="10"/>
  <c r="Q84" i="10" s="1"/>
  <c r="B95" i="10" s="1"/>
  <c r="L84" i="10"/>
  <c r="O84" i="10" s="1"/>
  <c r="J84" i="10"/>
  <c r="M84" i="10" s="1"/>
  <c r="AM40" i="10" l="1"/>
  <c r="CS40" i="10" s="1"/>
  <c r="DE40" i="10" s="1"/>
  <c r="CS50" i="10"/>
  <c r="DE50" i="10" s="1"/>
  <c r="DB50" i="10" s="1"/>
  <c r="DG50" i="10" s="1"/>
  <c r="DX50" i="10" s="1"/>
  <c r="CT40" i="10"/>
  <c r="CU35" i="10"/>
  <c r="CV35" i="10" s="1"/>
  <c r="G37" i="10"/>
  <c r="J46" i="10"/>
  <c r="L65" i="10" s="1"/>
  <c r="J37" i="10"/>
  <c r="DD35" i="10"/>
  <c r="BH35" i="10"/>
  <c r="DK35" i="10"/>
  <c r="F37" i="10"/>
  <c r="I37" i="10"/>
  <c r="I46" i="10"/>
  <c r="K65" i="10" s="1"/>
  <c r="DA50" i="10"/>
  <c r="DF50" i="10" s="1"/>
  <c r="DW50" i="10" s="1"/>
  <c r="BI35" i="10"/>
  <c r="DL35" i="10"/>
  <c r="BI50" i="10"/>
  <c r="DL50" i="10"/>
  <c r="BH40" i="10"/>
  <c r="CS35" i="10"/>
  <c r="BI40" i="10"/>
  <c r="DL40" i="10"/>
  <c r="DK50" i="10"/>
  <c r="DS50" i="10" s="1"/>
  <c r="BH50" i="10"/>
  <c r="DR35" i="10"/>
  <c r="DO35" i="10" s="1"/>
  <c r="DO50" i="10"/>
  <c r="CT50" i="10"/>
  <c r="R82" i="10"/>
  <c r="G6" i="11" s="1"/>
  <c r="P82" i="10"/>
  <c r="S82" i="10" s="1"/>
  <c r="H6" i="11" s="1"/>
  <c r="O88" i="10"/>
  <c r="R88" i="10" s="1"/>
  <c r="N88" i="10"/>
  <c r="Q88" i="10" s="1"/>
  <c r="F90" i="10" s="1"/>
  <c r="J90" i="10" s="1"/>
  <c r="P84" i="10"/>
  <c r="S84" i="10" s="1"/>
  <c r="D95" i="10" s="1"/>
  <c r="R84" i="10"/>
  <c r="C95" i="10" s="1"/>
  <c r="L86" i="10"/>
  <c r="O86" i="10" s="1"/>
  <c r="J86" i="10"/>
  <c r="M86" i="10" s="1"/>
  <c r="N86" i="10"/>
  <c r="Q86" i="10" s="1"/>
  <c r="B100" i="10" s="1"/>
  <c r="DK40" i="10" l="1"/>
  <c r="DS40" i="10" s="1"/>
  <c r="DQ40" i="10" s="1"/>
  <c r="DV40" i="10" s="1"/>
  <c r="B11" i="9"/>
  <c r="E137" i="2"/>
  <c r="E139" i="2"/>
  <c r="E138" i="2"/>
  <c r="E140" i="2"/>
  <c r="M37" i="10"/>
  <c r="Q37" i="10" s="1"/>
  <c r="DC40" i="10"/>
  <c r="L37" i="10"/>
  <c r="DE35" i="10"/>
  <c r="DC35" i="10" s="1"/>
  <c r="DH35" i="10" s="1"/>
  <c r="DY35" i="10" s="1"/>
  <c r="DB40" i="10"/>
  <c r="DQ50" i="10"/>
  <c r="B97" i="10"/>
  <c r="BM50" i="10"/>
  <c r="DC50" i="10"/>
  <c r="DH50" i="10" s="1"/>
  <c r="DY50" i="10" s="1"/>
  <c r="CU50" i="10"/>
  <c r="CV50" i="10" s="1"/>
  <c r="CW50" i="10" s="1"/>
  <c r="CX50" i="10" s="1"/>
  <c r="BM40" i="10"/>
  <c r="BN40" i="10" s="1"/>
  <c r="BO40" i="10" s="1"/>
  <c r="DP50" i="10"/>
  <c r="DA35" i="10"/>
  <c r="DF35" i="10" s="1"/>
  <c r="DW35" i="10" s="1"/>
  <c r="BM35" i="10"/>
  <c r="BN35" i="10" s="1"/>
  <c r="BO35" i="10" s="1"/>
  <c r="CW35" i="10"/>
  <c r="CX35" i="10" s="1"/>
  <c r="P88" i="10"/>
  <c r="S88" i="10" s="1"/>
  <c r="H90" i="10" s="1"/>
  <c r="L90" i="10" s="1"/>
  <c r="DS35" i="10"/>
  <c r="DP35" i="10" s="1"/>
  <c r="P86" i="10"/>
  <c r="S86" i="10" s="1"/>
  <c r="D100" i="10" s="1"/>
  <c r="R86" i="10"/>
  <c r="C100" i="10" s="1"/>
  <c r="C97" i="10"/>
  <c r="G90" i="10"/>
  <c r="K90" i="10" s="1"/>
  <c r="C178" i="2" l="1"/>
  <c r="D178" i="2"/>
  <c r="C177" i="2"/>
  <c r="D177" i="2"/>
  <c r="R37" i="10"/>
  <c r="S37" i="10" s="1"/>
  <c r="P37" i="10" s="1"/>
  <c r="T37" i="10" s="1"/>
  <c r="U37" i="10" s="1"/>
  <c r="O37" i="10" s="1"/>
  <c r="DB35" i="10"/>
  <c r="DG35" i="10" s="1"/>
  <c r="DX35" i="10" s="1"/>
  <c r="D97" i="10"/>
  <c r="H97" i="10" s="1"/>
  <c r="I97" i="10" s="1"/>
  <c r="J97" i="10" s="1"/>
  <c r="DP40" i="10"/>
  <c r="DU40" i="10" s="1"/>
  <c r="BL35" i="10"/>
  <c r="DQ35" i="10"/>
  <c r="BN50" i="10"/>
  <c r="BO50" i="10" s="1"/>
  <c r="BL40" i="10"/>
  <c r="H100" i="10"/>
  <c r="BP40" i="10" l="1"/>
  <c r="BQ40" i="10" s="1"/>
  <c r="BK40" i="10" s="1"/>
  <c r="BW40" i="10" s="1"/>
  <c r="BX40" i="10" s="1"/>
  <c r="BP35" i="10"/>
  <c r="BQ35" i="10" s="1"/>
  <c r="BK35" i="10" s="1"/>
  <c r="BL50" i="10"/>
  <c r="BP50" i="10" s="1"/>
  <c r="BQ50" i="10" s="1"/>
  <c r="BK50" i="10" s="1"/>
  <c r="X37" i="10"/>
  <c r="AC37" i="10" s="1"/>
  <c r="AA37" i="10"/>
  <c r="AB37" i="10" s="1"/>
  <c r="Z37" i="10" s="1"/>
  <c r="G97" i="10"/>
  <c r="I100" i="10"/>
  <c r="J100" i="10" s="1"/>
  <c r="BT40" i="10" l="1"/>
  <c r="BZ40" i="10" s="1"/>
  <c r="CL40" i="10" s="1"/>
  <c r="BU40" i="10"/>
  <c r="CA40" i="10" s="1"/>
  <c r="BW50" i="10"/>
  <c r="BX50" i="10" s="1"/>
  <c r="BV40" i="10"/>
  <c r="CB40" i="10" s="1"/>
  <c r="BW35" i="10"/>
  <c r="Y37" i="10"/>
  <c r="G100" i="10"/>
  <c r="K97" i="10"/>
  <c r="L97" i="10" s="1"/>
  <c r="F97" i="10" s="1"/>
  <c r="CI40" i="10" l="1"/>
  <c r="CN40" i="10" s="1"/>
  <c r="DW40" i="10" s="1"/>
  <c r="K46" i="10" s="1"/>
  <c r="J67" i="10" s="1"/>
  <c r="CM40" i="10"/>
  <c r="CJ40" i="10" s="1"/>
  <c r="CO40" i="10" s="1"/>
  <c r="DX40" i="10" s="1"/>
  <c r="L46" i="10" s="1"/>
  <c r="O46" i="10" s="1"/>
  <c r="BU50" i="10"/>
  <c r="CA50" i="10" s="1"/>
  <c r="BT50" i="10"/>
  <c r="BZ50" i="10" s="1"/>
  <c r="BX35" i="10"/>
  <c r="BU35" i="10" s="1"/>
  <c r="CA35" i="10" s="1"/>
  <c r="BT35" i="10"/>
  <c r="BZ35" i="10" s="1"/>
  <c r="AF37" i="10"/>
  <c r="AE37" i="10" s="1"/>
  <c r="AD37" i="10"/>
  <c r="CC40" i="10"/>
  <c r="CD40" i="10" s="1"/>
  <c r="CE40" i="10" s="1"/>
  <c r="CF40" i="10" s="1"/>
  <c r="BV50" i="10"/>
  <c r="CB50" i="10" s="1"/>
  <c r="R97" i="10"/>
  <c r="O97" i="10" s="1"/>
  <c r="T97" i="10" s="1"/>
  <c r="F91" i="10" s="1"/>
  <c r="J91" i="10" s="1"/>
  <c r="K100" i="10"/>
  <c r="L100" i="10" s="1"/>
  <c r="F100" i="10" s="1"/>
  <c r="N46" i="10" l="1"/>
  <c r="K67" i="10"/>
  <c r="CK40" i="10"/>
  <c r="CP40" i="10" s="1"/>
  <c r="CU40" i="10" s="1"/>
  <c r="CV40" i="10" s="1"/>
  <c r="CW40" i="10" s="1"/>
  <c r="CX40" i="10" s="1"/>
  <c r="CL50" i="10"/>
  <c r="CM50" i="10" s="1"/>
  <c r="CJ50" i="10" s="1"/>
  <c r="BV35" i="10"/>
  <c r="CB35" i="10" s="1"/>
  <c r="CC50" i="10"/>
  <c r="CD50" i="10" s="1"/>
  <c r="CE50" i="10" s="1"/>
  <c r="CF50" i="10" s="1"/>
  <c r="CI35" i="10"/>
  <c r="CL35" i="10"/>
  <c r="CM35" i="10" s="1"/>
  <c r="CJ35" i="10" s="1"/>
  <c r="O100" i="10"/>
  <c r="T100" i="10" s="1"/>
  <c r="E95" i="10" s="1"/>
  <c r="H95" i="10" s="1"/>
  <c r="R100" i="10"/>
  <c r="S97" i="10"/>
  <c r="Q97" i="10" s="1"/>
  <c r="P97" i="10"/>
  <c r="DY40" i="10" l="1"/>
  <c r="M46" i="10" s="1"/>
  <c r="L67" i="10" s="1"/>
  <c r="CI50" i="10"/>
  <c r="CK50" i="10"/>
  <c r="CK35" i="10"/>
  <c r="CC35" i="10"/>
  <c r="CD35" i="10" s="1"/>
  <c r="CE35" i="10" s="1"/>
  <c r="CF35" i="10" s="1"/>
  <c r="U97" i="10"/>
  <c r="G91" i="10" s="1"/>
  <c r="K91" i="10" s="1"/>
  <c r="W97" i="10"/>
  <c r="V97" i="10" s="1"/>
  <c r="H91" i="10" s="1"/>
  <c r="L91" i="10" s="1"/>
  <c r="S100" i="10"/>
  <c r="Q100" i="10" s="1"/>
  <c r="P100" i="10" l="1"/>
  <c r="U100" i="10" s="1"/>
  <c r="F95" i="10" s="1"/>
  <c r="I95" i="10" s="1"/>
  <c r="P46" i="10"/>
  <c r="T46" i="10" s="1"/>
  <c r="U46" i="10" s="1"/>
  <c r="V46" i="10" s="1"/>
  <c r="S46" i="10" s="1"/>
  <c r="W100" i="10" l="1"/>
  <c r="V100" i="10" s="1"/>
  <c r="G95" i="10" s="1"/>
  <c r="J95" i="10" s="1"/>
  <c r="N95" i="10" s="1"/>
  <c r="O95" i="10" s="1"/>
  <c r="P95" i="10" s="1"/>
  <c r="W46" i="10"/>
  <c r="X46" i="10" s="1"/>
  <c r="R46" i="10" s="1"/>
  <c r="AA46" i="10" s="1"/>
  <c r="AF46" i="10" s="1"/>
  <c r="AD46" i="10" l="1"/>
  <c r="AB46" i="10" s="1"/>
  <c r="M95" i="10"/>
  <c r="AE46" i="10" l="1"/>
  <c r="AC46" i="10" s="1"/>
  <c r="AG46" i="10"/>
  <c r="AI46" i="10"/>
  <c r="Q95" i="10"/>
  <c r="R95" i="10" s="1"/>
  <c r="L95" i="10" s="1"/>
  <c r="AH46" i="10" l="1"/>
  <c r="U9" i="10" s="1"/>
  <c r="S9" i="10" s="1"/>
  <c r="U95" i="10"/>
  <c r="Z95" i="10" s="1"/>
  <c r="F92" i="10" s="1"/>
  <c r="J92" i="10" s="1"/>
  <c r="J93" i="10" s="1"/>
  <c r="W92" i="10" s="1"/>
  <c r="X95" i="10"/>
  <c r="F7" i="11" l="1"/>
  <c r="J69" i="10"/>
  <c r="R15" i="10"/>
  <c r="S16" i="10"/>
  <c r="S17" i="10"/>
  <c r="S18" i="10"/>
  <c r="S15" i="10"/>
  <c r="R16" i="10"/>
  <c r="T9" i="10"/>
  <c r="R9" i="10" s="1"/>
  <c r="S10" i="10"/>
  <c r="S11" i="10" s="1"/>
  <c r="G11" i="11" s="1"/>
  <c r="H11" i="11" s="1"/>
  <c r="Y95" i="10"/>
  <c r="W95" i="10" s="1"/>
  <c r="R19" i="10" l="1"/>
  <c r="E73" i="10"/>
  <c r="S19" i="10"/>
  <c r="V95" i="10"/>
  <c r="AC95" i="10" s="1"/>
  <c r="AB95" i="10" s="1"/>
  <c r="H92" i="10" s="1"/>
  <c r="L92" i="10" s="1"/>
  <c r="L93" i="10" s="1"/>
  <c r="Y92" i="10" s="1"/>
  <c r="S20" i="10" l="1"/>
  <c r="I25" i="10" s="1"/>
  <c r="L69" i="10"/>
  <c r="H7" i="11"/>
  <c r="Q8" i="10"/>
  <c r="Q14" i="10"/>
  <c r="AA95" i="10"/>
  <c r="G92" i="10" s="1"/>
  <c r="K92" i="10" s="1"/>
  <c r="K93" i="10" s="1"/>
  <c r="X92" i="10" s="1"/>
  <c r="W19" i="10" l="1"/>
  <c r="I23" i="10"/>
  <c r="I24" i="10"/>
  <c r="X20" i="10"/>
  <c r="W20" i="10" s="1"/>
  <c r="S24" i="10" s="1"/>
  <c r="G13" i="11" s="1"/>
  <c r="I26" i="10"/>
  <c r="K69" i="10"/>
  <c r="G7" i="11"/>
  <c r="E12" i="8"/>
  <c r="I27" i="10" l="1"/>
  <c r="T20" i="10"/>
  <c r="M26" i="10"/>
  <c r="M24" i="10"/>
  <c r="M23" i="10"/>
  <c r="M25" i="10"/>
  <c r="E7" i="8"/>
  <c r="V20" i="10" l="1"/>
  <c r="T24" i="10" s="1"/>
  <c r="H13" i="11" s="1"/>
  <c r="H14" i="11" s="1"/>
  <c r="E4" i="12" s="1"/>
  <c r="G4" i="12" s="1"/>
  <c r="A13" i="8"/>
  <c r="E6" i="8"/>
  <c r="A10" i="8"/>
  <c r="H4" i="12" l="1"/>
  <c r="H18" i="12" s="1"/>
  <c r="I4" i="12"/>
  <c r="F4" i="12"/>
  <c r="F18" i="12" s="1"/>
  <c r="E75" i="10"/>
  <c r="E76" i="10" s="1"/>
  <c r="H72" i="10" s="1"/>
  <c r="G17" i="9"/>
  <c r="E17" i="7"/>
  <c r="D9" i="8"/>
  <c r="G9" i="8"/>
  <c r="F19" i="8"/>
  <c r="F21" i="8"/>
  <c r="F22" i="8"/>
  <c r="F23" i="8"/>
  <c r="F24" i="8"/>
  <c r="F26" i="8"/>
  <c r="F32" i="8"/>
  <c r="F33" i="8"/>
  <c r="F34" i="8"/>
  <c r="J4" i="12" l="1"/>
  <c r="J18" i="12" s="1"/>
  <c r="C111" i="2"/>
  <c r="E111" i="2"/>
  <c r="G111" i="2"/>
  <c r="E113" i="2"/>
  <c r="C114" i="2"/>
  <c r="E114" i="2"/>
  <c r="G114" i="2"/>
  <c r="C115" i="2"/>
  <c r="E115" i="2"/>
  <c r="G115" i="2"/>
  <c r="C116" i="2"/>
  <c r="E116" i="2"/>
  <c r="G116" i="2"/>
  <c r="C117" i="2"/>
  <c r="E117" i="2"/>
  <c r="G117" i="2"/>
  <c r="C118" i="2"/>
  <c r="E118" i="2"/>
  <c r="G118" i="2"/>
  <c r="C119" i="2"/>
  <c r="E119" i="2"/>
  <c r="G119" i="2"/>
  <c r="C120" i="2"/>
  <c r="E120" i="2"/>
  <c r="G120" i="2"/>
  <c r="C121" i="2"/>
  <c r="E121" i="2"/>
  <c r="G121" i="2"/>
  <c r="C122" i="2"/>
  <c r="E122" i="2"/>
  <c r="G122" i="2"/>
  <c r="C123" i="2"/>
  <c r="E123" i="2"/>
  <c r="G123" i="2"/>
  <c r="C124" i="2"/>
  <c r="E124" i="2"/>
  <c r="G124" i="2"/>
  <c r="E126" i="2"/>
  <c r="E14" i="4"/>
  <c r="G24" i="8" s="1"/>
  <c r="G125" i="2" l="1"/>
  <c r="E125" i="2"/>
  <c r="C125" i="2"/>
  <c r="D62" i="2"/>
  <c r="C62" i="2"/>
  <c r="E53" i="2"/>
  <c r="R4" i="2"/>
  <c r="Q4" i="2"/>
  <c r="F72" i="2"/>
  <c r="F71" i="2"/>
  <c r="E13" i="7" s="1"/>
  <c r="E72" i="2"/>
  <c r="E71" i="2"/>
  <c r="E12" i="7" s="1"/>
  <c r="H126" i="2" l="1"/>
  <c r="B130" i="2" s="1"/>
  <c r="E62" i="2"/>
  <c r="E14" i="7"/>
  <c r="G71" i="2"/>
  <c r="H71" i="2" s="1"/>
  <c r="G72" i="2"/>
  <c r="H72" i="2" s="1"/>
  <c r="E15" i="7" s="1"/>
  <c r="F128" i="2" l="1"/>
  <c r="E12" i="12" s="1"/>
  <c r="C130" i="2"/>
  <c r="D3" i="7"/>
  <c r="F3" i="7"/>
  <c r="H3" i="7"/>
  <c r="J3" i="7"/>
  <c r="J15" i="7"/>
  <c r="D4" i="7"/>
  <c r="F4" i="7"/>
  <c r="H4" i="7"/>
  <c r="J4" i="7"/>
  <c r="D5" i="7"/>
  <c r="F5" i="7"/>
  <c r="H5" i="7"/>
  <c r="J5" i="7"/>
  <c r="D6" i="7"/>
  <c r="F6" i="7"/>
  <c r="H6" i="7"/>
  <c r="J6" i="7"/>
  <c r="D7" i="7"/>
  <c r="F7" i="7"/>
  <c r="H7" i="7"/>
  <c r="J7" i="7"/>
  <c r="D8" i="7"/>
  <c r="F8" i="7"/>
  <c r="H8" i="7"/>
  <c r="J8" i="7"/>
  <c r="H10" i="7"/>
  <c r="J10" i="7"/>
  <c r="H11" i="7"/>
  <c r="J11" i="7"/>
  <c r="C30" i="6"/>
  <c r="C23" i="6"/>
  <c r="C11" i="6"/>
  <c r="C10" i="6"/>
  <c r="G12" i="12" l="1"/>
  <c r="F12" i="12"/>
  <c r="I16" i="7"/>
  <c r="J16" i="7" s="1"/>
  <c r="J17" i="7" s="1"/>
  <c r="H9" i="7"/>
  <c r="H13" i="7" s="1"/>
  <c r="F9" i="7"/>
  <c r="J9" i="7"/>
  <c r="J13" i="7" s="1"/>
  <c r="D9" i="7"/>
  <c r="B19" i="4"/>
  <c r="F29" i="8" s="1"/>
  <c r="G28" i="9" s="1"/>
  <c r="H28" i="9" s="1"/>
  <c r="I13" i="2"/>
  <c r="I20" i="2"/>
  <c r="I12" i="12" l="1"/>
  <c r="J12" i="12" s="1"/>
  <c r="H12" i="12"/>
  <c r="J12" i="7"/>
  <c r="J14" i="7" s="1"/>
  <c r="H12" i="7"/>
  <c r="H14" i="7" s="1"/>
  <c r="E52" i="2"/>
  <c r="D52" i="2"/>
  <c r="E11" i="7" l="1"/>
  <c r="E16" i="7" s="1"/>
  <c r="P22" i="2"/>
  <c r="P21" i="2"/>
  <c r="P20" i="2"/>
  <c r="P19" i="2"/>
  <c r="C179" i="2" l="1"/>
  <c r="D179" i="2"/>
  <c r="E87" i="2"/>
  <c r="E86" i="2"/>
  <c r="E85" i="2"/>
  <c r="E84" i="2"/>
  <c r="E83" i="2"/>
  <c r="E82" i="2"/>
  <c r="D88" i="2" l="1"/>
  <c r="B18" i="4" l="1"/>
  <c r="I15" i="2"/>
  <c r="M24" i="2"/>
  <c r="B6" i="4" s="1"/>
  <c r="C18" i="4" l="1"/>
  <c r="E18" i="4" s="1"/>
  <c r="G28" i="8" s="1"/>
  <c r="F28" i="8"/>
  <c r="E14" i="12" s="1"/>
  <c r="E9" i="2"/>
  <c r="D9" i="2"/>
  <c r="G14" i="12" l="1"/>
  <c r="F14" i="12"/>
  <c r="G27" i="9"/>
  <c r="H27" i="9" s="1"/>
  <c r="E34" i="2"/>
  <c r="E4" i="3" s="1"/>
  <c r="D74" i="2" s="1"/>
  <c r="F173" i="2" s="1"/>
  <c r="I14" i="12" l="1"/>
  <c r="J14" i="12" s="1"/>
  <c r="H14" i="12"/>
  <c r="B12" i="3"/>
  <c r="B11" i="3" l="1"/>
  <c r="E64" i="2"/>
  <c r="D61" i="2"/>
  <c r="D60" i="2"/>
  <c r="C61" i="2"/>
  <c r="C60" i="2"/>
  <c r="E56" i="2"/>
  <c r="E55" i="2"/>
  <c r="E54" i="2"/>
  <c r="D51" i="2"/>
  <c r="E51" i="2" s="1"/>
  <c r="D50" i="2"/>
  <c r="E50" i="2" s="1"/>
  <c r="B9" i="3"/>
  <c r="E47" i="2"/>
  <c r="D43" i="2"/>
  <c r="D44" i="2" s="1"/>
  <c r="E57" i="2" l="1"/>
  <c r="E60" i="2"/>
  <c r="E61" i="2"/>
  <c r="E33" i="2"/>
  <c r="E63" i="2" l="1"/>
  <c r="E65" i="2" s="1"/>
  <c r="B10" i="3" s="1"/>
  <c r="E58" i="2"/>
  <c r="B7" i="3" s="1"/>
  <c r="E27" i="2"/>
  <c r="E35" i="2" s="1"/>
  <c r="B8" i="3" s="1"/>
  <c r="E26" i="2"/>
  <c r="AJ17" i="2" l="1"/>
  <c r="AJ18" i="2"/>
  <c r="AJ19" i="2"/>
  <c r="AJ20" i="2"/>
  <c r="AJ28" i="2" l="1"/>
  <c r="AJ27" i="2"/>
  <c r="AJ26" i="2"/>
  <c r="AJ25" i="2"/>
  <c r="AJ24" i="2"/>
  <c r="AJ23" i="2"/>
  <c r="AJ22" i="2"/>
  <c r="AJ21" i="2"/>
  <c r="AJ29" i="2" l="1"/>
  <c r="B5" i="2"/>
  <c r="B9" i="2" s="1"/>
  <c r="E4" i="2" l="1"/>
  <c r="E5" i="2"/>
  <c r="C16" i="4" s="1"/>
  <c r="E16" i="4" s="1"/>
  <c r="G26" i="8" s="1"/>
  <c r="B6" i="3" l="1"/>
  <c r="C6" i="4"/>
  <c r="B15" i="4" l="1"/>
  <c r="I12" i="2"/>
  <c r="S11" i="2"/>
  <c r="R9" i="2"/>
  <c r="R8" i="2"/>
  <c r="R7" i="2"/>
  <c r="R6" i="2"/>
  <c r="R5" i="2"/>
  <c r="R3" i="2"/>
  <c r="R2" i="2"/>
  <c r="Q9" i="2"/>
  <c r="Q8" i="2"/>
  <c r="Q7" i="2"/>
  <c r="Q6" i="2"/>
  <c r="Q5" i="2"/>
  <c r="Q3" i="2"/>
  <c r="Q2" i="2"/>
  <c r="O9" i="2"/>
  <c r="O8" i="2"/>
  <c r="O7" i="2"/>
  <c r="O6" i="2"/>
  <c r="O5" i="2"/>
  <c r="O4" i="2"/>
  <c r="O3" i="2"/>
  <c r="O2" i="2"/>
  <c r="N9" i="2"/>
  <c r="N8" i="2"/>
  <c r="N7" i="2"/>
  <c r="N5" i="2"/>
  <c r="N6" i="2"/>
  <c r="N4" i="2"/>
  <c r="N3" i="2"/>
  <c r="N2" i="2"/>
  <c r="C15" i="4" l="1"/>
  <c r="F25" i="8"/>
  <c r="P9" i="2"/>
  <c r="P3" i="2"/>
  <c r="S3" i="2"/>
  <c r="S5" i="2"/>
  <c r="S6" i="2"/>
  <c r="S7" i="2"/>
  <c r="S8" i="2"/>
  <c r="S4" i="2"/>
  <c r="P5" i="2"/>
  <c r="S9" i="2"/>
  <c r="S2" i="2"/>
  <c r="P4" i="2"/>
  <c r="P8" i="2"/>
  <c r="P7" i="2"/>
  <c r="P2" i="2"/>
  <c r="P6" i="2"/>
  <c r="E16" i="2"/>
  <c r="F16" i="2" s="1"/>
  <c r="F15" i="2"/>
  <c r="C21" i="2"/>
  <c r="C20" i="2"/>
  <c r="C19" i="2"/>
  <c r="K42" i="2"/>
  <c r="K40" i="2"/>
  <c r="K34" i="2"/>
  <c r="K35" i="2" s="1"/>
  <c r="G25" i="9" l="1"/>
  <c r="H25" i="9" s="1"/>
  <c r="C22" i="2"/>
  <c r="F17" i="2"/>
  <c r="E13" i="12" s="1"/>
  <c r="S10" i="2"/>
  <c r="S13" i="2" s="1"/>
  <c r="B21" i="4" s="1"/>
  <c r="P10" i="2"/>
  <c r="P11" i="2" s="1"/>
  <c r="B20" i="4" s="1"/>
  <c r="K39" i="2"/>
  <c r="K41" i="2" s="1"/>
  <c r="K38" i="2" s="1"/>
  <c r="B10" i="4" l="1"/>
  <c r="E8" i="12"/>
  <c r="G8" i="12" s="1"/>
  <c r="F13" i="12"/>
  <c r="G13" i="12"/>
  <c r="F8" i="12"/>
  <c r="C20" i="4"/>
  <c r="E20" i="4" s="1"/>
  <c r="G30" i="8" s="1"/>
  <c r="F30" i="8"/>
  <c r="C10" i="4"/>
  <c r="F20" i="8"/>
  <c r="G21" i="9" s="1"/>
  <c r="C21" i="4"/>
  <c r="E21" i="4" s="1"/>
  <c r="G31" i="8" s="1"/>
  <c r="F31" i="8"/>
  <c r="B17" i="4"/>
  <c r="I14" i="2"/>
  <c r="M22" i="2"/>
  <c r="M21" i="2"/>
  <c r="M20" i="2"/>
  <c r="M19" i="2"/>
  <c r="M18" i="2"/>
  <c r="M17" i="2"/>
  <c r="M16" i="2"/>
  <c r="M15" i="2"/>
  <c r="M14" i="2"/>
  <c r="M13" i="2"/>
  <c r="M12" i="2"/>
  <c r="M11" i="2"/>
  <c r="M10" i="2"/>
  <c r="M9" i="2"/>
  <c r="M8" i="2"/>
  <c r="M7" i="2"/>
  <c r="M6" i="2"/>
  <c r="M5" i="2"/>
  <c r="M4" i="2"/>
  <c r="M3" i="2"/>
  <c r="M2" i="2"/>
  <c r="G29" i="9" l="1"/>
  <c r="H29" i="9" s="1"/>
  <c r="E16" i="12"/>
  <c r="I8" i="12"/>
  <c r="J8" i="12" s="1"/>
  <c r="H8" i="12"/>
  <c r="G30" i="9"/>
  <c r="H30" i="9" s="1"/>
  <c r="E17" i="12"/>
  <c r="I13" i="12"/>
  <c r="H13" i="12"/>
  <c r="C17" i="4"/>
  <c r="E17" i="4" s="1"/>
  <c r="G27" i="8" s="1"/>
  <c r="F27" i="8"/>
  <c r="G26" i="9" s="1"/>
  <c r="H26" i="9" s="1"/>
  <c r="H21" i="9"/>
  <c r="M23" i="2"/>
  <c r="C19" i="4"/>
  <c r="C23" i="4"/>
  <c r="E23" i="4" s="1"/>
  <c r="G33" i="8" s="1"/>
  <c r="C9" i="4"/>
  <c r="E9" i="4" s="1"/>
  <c r="G19" i="8" s="1"/>
  <c r="E8" i="3"/>
  <c r="E7" i="3"/>
  <c r="E5" i="3"/>
  <c r="G16" i="12" l="1"/>
  <c r="F16" i="12"/>
  <c r="G17" i="12"/>
  <c r="F17" i="12"/>
  <c r="J13" i="12"/>
  <c r="N23" i="2"/>
  <c r="O23" i="2" s="1"/>
  <c r="E31" i="2"/>
  <c r="E30" i="2"/>
  <c r="I16" i="12" l="1"/>
  <c r="J16" i="12" s="1"/>
  <c r="H16" i="12"/>
  <c r="H17" i="12"/>
  <c r="I17" i="12"/>
  <c r="J17" i="12" s="1"/>
  <c r="O22" i="2"/>
  <c r="R22" i="2" s="1"/>
  <c r="O21" i="2"/>
  <c r="R21" i="2" s="1"/>
  <c r="O20" i="2"/>
  <c r="R20" i="2" s="1"/>
  <c r="O19" i="2"/>
  <c r="R19" i="2" s="1"/>
  <c r="I3" i="2"/>
  <c r="I6" i="2"/>
  <c r="I7" i="2"/>
  <c r="I16" i="2"/>
  <c r="I17" i="2"/>
  <c r="I18" i="2"/>
  <c r="R23" i="2" l="1"/>
  <c r="R25" i="2" s="1"/>
  <c r="R26" i="2" s="1"/>
  <c r="M25" i="2" l="1"/>
  <c r="B5" i="4"/>
  <c r="F15" i="8" s="1"/>
  <c r="H17" i="9" s="1"/>
  <c r="H31" i="9" s="1"/>
  <c r="I2" i="2" l="1"/>
  <c r="I19" i="2" s="1"/>
  <c r="C5" i="4"/>
  <c r="E18" i="7" l="1"/>
  <c r="E24" i="2"/>
  <c r="C22" i="4" s="1"/>
  <c r="B7" i="4" l="1"/>
  <c r="F17" i="8" s="1"/>
  <c r="G18" i="9" s="1"/>
  <c r="G20" i="9" s="1"/>
  <c r="G33" i="9" s="1"/>
  <c r="E5" i="12"/>
  <c r="G5" i="12" s="1"/>
  <c r="I5" i="12" s="1"/>
  <c r="H18" i="9" l="1"/>
  <c r="H20" i="9" s="1"/>
  <c r="B8" i="4"/>
  <c r="F18" i="8" s="1"/>
  <c r="C7" i="4"/>
  <c r="C8" i="4" s="1"/>
  <c r="C13" i="4" s="1"/>
  <c r="I4" i="2"/>
  <c r="E90" i="2" s="1"/>
  <c r="E92" i="2" s="1"/>
  <c r="I8" i="2" s="1"/>
  <c r="F5" i="12"/>
  <c r="E7" i="12"/>
  <c r="E20" i="12" s="1"/>
  <c r="B25" i="4"/>
  <c r="F35" i="8" s="1"/>
  <c r="H22" i="9" l="1"/>
  <c r="F173" i="10" s="1"/>
  <c r="F23" i="12" s="1"/>
  <c r="F31" i="12"/>
  <c r="F32" i="12" s="1"/>
  <c r="F7" i="12"/>
  <c r="F9" i="12"/>
  <c r="I5" i="2"/>
  <c r="I10" i="2" s="1"/>
  <c r="D90" i="2"/>
  <c r="D92" i="2" s="1"/>
  <c r="C11" i="4" s="1"/>
  <c r="C12" i="4"/>
  <c r="G7" i="12"/>
  <c r="G20" i="12" s="1"/>
  <c r="H5" i="12"/>
  <c r="H23" i="9"/>
  <c r="H24" i="9"/>
  <c r="F169" i="10" l="1"/>
  <c r="H32" i="9" s="1"/>
  <c r="J19" i="12" s="1"/>
  <c r="F24" i="12"/>
  <c r="F27" i="12"/>
  <c r="F28" i="12" s="1"/>
  <c r="I9" i="2"/>
  <c r="I21" i="2" s="1"/>
  <c r="G144" i="2" s="1"/>
  <c r="H7" i="12"/>
  <c r="F11" i="12"/>
  <c r="F10" i="12"/>
  <c r="J5" i="12"/>
  <c r="I7" i="12"/>
  <c r="I20" i="12" s="1"/>
  <c r="B15" i="2"/>
  <c r="E10" i="2"/>
  <c r="E11" i="2" s="1"/>
  <c r="E12" i="2" s="1"/>
  <c r="B14" i="2"/>
  <c r="D10" i="2"/>
  <c r="D11" i="2" s="1"/>
  <c r="D12" i="2" s="1"/>
  <c r="F20" i="12" l="1"/>
  <c r="J7" i="12"/>
  <c r="J9" i="12"/>
  <c r="H11" i="12"/>
  <c r="H9" i="12" s="1"/>
  <c r="H10" i="12"/>
  <c r="H33" i="9"/>
  <c r="F36" i="12" s="1"/>
  <c r="B16" i="2"/>
  <c r="B17" i="2" s="1"/>
  <c r="C12" i="2"/>
  <c r="H20" i="12" l="1"/>
  <c r="J10" i="12"/>
  <c r="J11" i="12"/>
  <c r="G142" i="2"/>
  <c r="D19" i="4" s="1"/>
  <c r="E19" i="4" s="1"/>
  <c r="G29" i="8" s="1"/>
  <c r="B5" i="3"/>
  <c r="J20" i="12" l="1"/>
  <c r="F34" i="12" s="1"/>
  <c r="E3" i="8"/>
  <c r="D15" i="4"/>
  <c r="E15" i="4" s="1"/>
  <c r="G25" i="8" s="1"/>
  <c r="D6" i="4"/>
  <c r="E6" i="4" s="1"/>
  <c r="G16" i="8" s="1"/>
  <c r="D5" i="4"/>
  <c r="E5" i="4" s="1"/>
  <c r="G15" i="8" s="1"/>
  <c r="D7" i="4"/>
  <c r="E7" i="4" s="1"/>
  <c r="G17" i="8" s="1"/>
  <c r="D11" i="4"/>
  <c r="E11" i="4" s="1"/>
  <c r="G21" i="8" s="1"/>
  <c r="B26" i="2"/>
  <c r="D10" i="4"/>
  <c r="E10" i="4" s="1"/>
  <c r="G20" i="8" s="1"/>
  <c r="E12" i="4" l="1"/>
  <c r="G22" i="8" s="1"/>
  <c r="E13" i="4"/>
  <c r="G23" i="8" s="1"/>
  <c r="E22" i="4"/>
  <c r="G32" i="8" s="1"/>
  <c r="D8" i="4"/>
  <c r="D25" i="4"/>
  <c r="D28" i="4" s="1"/>
  <c r="A15" i="8" s="1"/>
  <c r="E8" i="4"/>
  <c r="G18" i="8" s="1"/>
  <c r="D69" i="2"/>
  <c r="C24" i="4" s="1"/>
  <c r="C25" i="4" s="1"/>
  <c r="D42" i="2"/>
  <c r="D45" i="2" s="1"/>
  <c r="D46" i="2" s="1"/>
  <c r="E46" i="2" s="1"/>
  <c r="E48" i="2" s="1"/>
  <c r="B13" i="3" s="1"/>
  <c r="B3" i="3" l="1"/>
  <c r="E24" i="4"/>
  <c r="D66" i="2" s="1"/>
  <c r="D47" i="2"/>
  <c r="D167" i="2" l="1"/>
  <c r="D75" i="2" s="1"/>
  <c r="E38" i="2"/>
  <c r="F38" i="2" s="1"/>
  <c r="G34" i="8"/>
  <c r="B4" i="3"/>
  <c r="B15" i="3" s="1"/>
  <c r="E25" i="4"/>
  <c r="E28" i="4" s="1"/>
  <c r="A36" i="8" s="1"/>
  <c r="F172" i="2" l="1"/>
  <c r="F174" i="2" s="1"/>
  <c r="D73" i="2"/>
  <c r="D77" i="2" s="1"/>
  <c r="E77" i="2" s="1"/>
  <c r="F77" i="2" s="1"/>
  <c r="D162" i="2" s="1"/>
  <c r="F162" i="2" s="1"/>
  <c r="I146" i="2"/>
  <c r="G35" i="8"/>
  <c r="E39" i="2"/>
  <c r="F39" i="2" s="1"/>
  <c r="F40" i="2" s="1"/>
  <c r="E3" i="3" s="1"/>
  <c r="G145" i="2"/>
  <c r="D76" i="2" l="1"/>
  <c r="D161" i="2" s="1"/>
  <c r="F161" i="2" s="1"/>
  <c r="D78" i="2"/>
  <c r="E78" i="2" s="1"/>
  <c r="F78" i="2" s="1"/>
  <c r="D163" i="2" s="1"/>
  <c r="F163" i="2" s="1"/>
  <c r="D79" i="2" l="1"/>
  <c r="E79" i="2" s="1"/>
  <c r="F79" i="2" s="1"/>
  <c r="D164" i="2" s="1"/>
  <c r="F164" i="2" s="1"/>
  <c r="D80" i="2" l="1"/>
  <c r="F80" i="2" s="1"/>
  <c r="D165" i="2" l="1"/>
  <c r="F165" i="2" l="1"/>
  <c r="F167" i="2" s="1"/>
  <c r="E6" i="3" s="1"/>
  <c r="E15" i="3" s="1"/>
  <c r="B25" i="2" s="1"/>
  <c r="B16" i="3" s="1"/>
  <c r="D166" i="2"/>
</calcChain>
</file>

<file path=xl/comments1.xml><?xml version="1.0" encoding="utf-8"?>
<comments xmlns="http://schemas.openxmlformats.org/spreadsheetml/2006/main">
  <authors>
    <author>Author</author>
  </authors>
  <commentList>
    <comment ref="H6" authorId="0">
      <text>
        <r>
          <rPr>
            <b/>
            <sz val="9"/>
            <color indexed="81"/>
            <rFont val="B Nazanin"/>
            <charset val="178"/>
          </rPr>
          <t>متاهل بدون محاسبه : مرد یا زنی که به علت متارکه یا فوت همسر به تنهایی سرپرستی فرزندان را عهده دار است
معیل : زنی که متارکه کرده یا به علت  فوت یا معلولیت و از کار افتادگی همسر، سرپرستی فرزندان را عهده دار است.</t>
        </r>
      </text>
    </comment>
    <comment ref="H8" authorId="0">
      <text>
        <r>
          <rPr>
            <b/>
            <sz val="9"/>
            <color indexed="81"/>
            <rFont val="B Nazanin"/>
            <charset val="178"/>
          </rPr>
          <t>مطابق با ماده ۲۸ قانون جامع خدمات رسانی به ایثارگران : فرزندان شاهد، جانبازان و آزادگان از حقوق و مزایای یک مقطع تحصیلی بالاتر بهره مند خواهند شد.
؛برای مشمولین یک مقطع تحصیلی بالاتر اعمال گردد.</t>
        </r>
      </text>
    </comment>
    <comment ref="H9" authorId="0">
      <text>
        <r>
          <rPr>
            <b/>
            <sz val="9"/>
            <color indexed="81"/>
            <rFont val="B Nazanin"/>
            <charset val="178"/>
          </rPr>
          <t>تا سقف  1000 ساعت
قابل احتساب در حق شاغل
هر ساعت ۰.۵ امتیاز</t>
        </r>
      </text>
    </comment>
    <comment ref="H11" authorId="0">
      <text>
        <r>
          <rPr>
            <b/>
            <sz val="9"/>
            <color indexed="81"/>
            <rFont val="B Nazanin"/>
            <charset val="178"/>
          </rPr>
          <t xml:space="preserve">درصد فوق العاده ویژه همکار پیمانی تان که دقیقاْ شغلشان با شما  یکی است و در یک واحد سازمانی خدمت می کنید را وارد نمایید. (می توانید از کارگزین محترمتان سوال فرمایید)
</t>
        </r>
      </text>
    </comment>
    <comment ref="H15" authorId="0">
      <text>
        <r>
          <rPr>
            <b/>
            <sz val="9"/>
            <color indexed="81"/>
            <rFont val="B Nazanin"/>
            <charset val="178"/>
          </rPr>
          <t>کارکنانی که در دوران جنگ تحمیلی در این مناطق (خطي كه از اروند كنار آغاز و پس از گذشتن از آبادان‌، خرمشهر، بستان‌، موسيان‌، دهلران‌، مهران‌، صالح آباد، سومار، گيلان غرب‌،سرپل ذهاب‌، قصرشيرين‌، نوسود، سردشت‌، پيرانشهر به سه راهي نقطه مرزي سه كشور ايران عراق و تركيه ختم مي‌شود) و كليه نقاط در اين خط و بخشهاي مربوط به آن‌ اشتغال داشته اند.
حداکثر ۷ سال و ۱۱ ماه</t>
        </r>
      </text>
    </comment>
    <comment ref="B19" authorId="0">
      <text>
        <r>
          <rPr>
            <b/>
            <sz val="9"/>
            <color indexed="81"/>
            <rFont val="B Nazanin"/>
            <charset val="178"/>
          </rPr>
          <t>از ابتدای اسفند سال 98 (یا قبل از آن) کارمندان رسمی و پیمانی در سازمان شما مشمول افزایش چند درصدی حقوق و مزایا شده اند؟</t>
        </r>
      </text>
    </comment>
    <comment ref="B23" authorId="0">
      <text>
        <r>
          <rPr>
            <b/>
            <sz val="9"/>
            <color indexed="81"/>
            <rFont val="B Nazanin"/>
            <charset val="178"/>
          </rPr>
          <t>مناطق محروم :
استان های خراسان شمالی، خراسان جنوبی، کهگیلویه و بویراحمد، چهارمحال و بختیاری، کردستان، سیستان و بلوچستان، بوشهر، هرمزگان، خوزستان و ایلام و همچنین تمامی واحدهای روستایی در سایر استان ها
مناطق برخوردار :
تمامی واحدهای سازمانی مستقر در سایر نقاط کشور که از شمول بند فوق خارج باشند.</t>
        </r>
      </text>
    </comment>
  </commentList>
</comments>
</file>

<file path=xl/comments2.xml><?xml version="1.0" encoding="utf-8"?>
<comments xmlns="http://schemas.openxmlformats.org/spreadsheetml/2006/main">
  <authors>
    <author>Author</author>
  </authors>
  <commentList>
    <comment ref="A134" authorId="0">
      <text>
        <r>
          <rPr>
            <b/>
            <sz val="9"/>
            <color indexed="81"/>
            <rFont val="B Nazanin"/>
            <charset val="178"/>
          </rPr>
          <t>تحت پوشش کدام صندوق بازنشستگی هستید؟
جهت احتساب سهم کسور بیمه حقوق کارمند</t>
        </r>
      </text>
    </comment>
    <comment ref="F134" authorId="0">
      <text>
        <r>
          <rPr>
            <b/>
            <sz val="9"/>
            <color indexed="81"/>
            <rFont val="B Nazanin"/>
            <charset val="178"/>
          </rPr>
          <t xml:space="preserve">مديريت سياسي یا مقام :
 1- رؤساي سه قوه 
 2- معاون اول رئيس جمهور، نواب رئيس مجلس شوراي اسلامي و اعضا شوراي نگهبان 
 3- وزرا نمايندگان مجلس شوراي اسلامي و معاونين رئيس جمهور
4- استانداران و سفرا 
 5ـ - معاونين وزرا </t>
        </r>
      </text>
    </comment>
    <comment ref="F135" authorId="0">
      <text>
        <r>
          <rPr>
            <b/>
            <sz val="9"/>
            <color indexed="81"/>
            <rFont val="B Nazanin"/>
            <charset val="178"/>
          </rPr>
          <t>اگر مقام سیاسی باشد
یکی از موارد را
انتخاب فرمایید.</t>
        </r>
      </text>
    </comment>
    <comment ref="A136" authorId="0">
      <text>
        <r>
          <rPr>
            <b/>
            <sz val="9"/>
            <color indexed="81"/>
            <rFont val="B Nazanin"/>
            <charset val="178"/>
          </rPr>
          <t>غیر از خودتان چه تعداد از افراد تحت تکفلتان را تحت پوشش بیمه تکمیلی قرار داده اید؟</t>
        </r>
      </text>
    </comment>
    <comment ref="A137" authorId="0">
      <text>
        <r>
          <rPr>
            <b/>
            <sz val="9"/>
            <color indexed="81"/>
            <rFont val="B Nazanin"/>
            <charset val="178"/>
          </rPr>
          <t>در سازمان شما بابت بیمه تکمیلی چه مبلغی از هر فرد کسر می گردد؟</t>
        </r>
      </text>
    </comment>
    <comment ref="D137" authorId="0">
      <text>
        <r>
          <rPr>
            <sz val="9"/>
            <color indexed="81"/>
            <rFont val="B Nazanin"/>
            <charset val="178"/>
          </rPr>
          <t>تا 1397/01/01 
حداکثر 30 سال تمام</t>
        </r>
      </text>
    </comment>
    <comment ref="A138" authorId="0">
      <text>
        <r>
          <rPr>
            <b/>
            <sz val="9"/>
            <color indexed="81"/>
            <rFont val="B Nazanin"/>
            <charset val="178"/>
          </rPr>
          <t>سازمان شما بابت بیمه تکمیلی کارکنان، چه مبلغی از پرداختی هر فرد را به وی برمیگرداند؟</t>
        </r>
      </text>
    </comment>
    <comment ref="A139" authorId="0">
      <text>
        <r>
          <rPr>
            <b/>
            <sz val="9"/>
            <color indexed="81"/>
            <rFont val="B Nazanin"/>
            <charset val="178"/>
          </rPr>
          <t>در سازمان شما برای هر کارمند، تا چند نفر از افراد تحت تکفل بیمه (تکمیلی)، مشمول یارانه سهم سازمان می شوند؟
( بیمه شده اصلی + افراد تحت تکفل)</t>
        </r>
      </text>
    </comment>
    <comment ref="D139" authorId="0">
      <text>
        <r>
          <rPr>
            <sz val="9"/>
            <color indexed="81"/>
            <rFont val="B Nazanin"/>
            <charset val="178"/>
          </rPr>
          <t>تا 1397/01/01
حداکثر 30 سال</t>
        </r>
      </text>
    </comment>
    <comment ref="A140" authorId="0">
      <text>
        <r>
          <rPr>
            <b/>
            <sz val="9"/>
            <color indexed="81"/>
            <rFont val="B Nazanin"/>
            <charset val="178"/>
          </rPr>
          <t>طبق ماده 56 قانون جامع ایثارگران :
۱۰۰٪ حقوق و فوق العاده شغل و سایر فوق العاده ها اعم از مستمر و غیر مستمر فرزندان شاهد، جانبازان (بالای ۲۵٪)  آزادگان و رزمندگان بالای ۱۲ ماه سابقه رزمندگی از پرداخت مالیات معاف میباشند.</t>
        </r>
      </text>
    </comment>
    <comment ref="A141" authorId="0">
      <text>
        <r>
          <rPr>
            <b/>
            <sz val="9"/>
            <color indexed="81"/>
            <rFont val="B Nazanin"/>
            <charset val="178"/>
          </rPr>
          <t>طبق ماده9۱ قانون جامع ایثارگران:
اسرا، آزادگان و جانبازان شاغل و حالت اشتغال، فرزندان شاهد و همچنین رزمندگان بالای ۲۴ ماه حضور در جبهه از پرداخت کسور بازنشستگی معاف می باشند.</t>
        </r>
      </text>
    </comment>
    <comment ref="A142" authorId="0">
      <text>
        <r>
          <rPr>
            <b/>
            <sz val="9"/>
            <color indexed="81"/>
            <rFont val="B Nazanin"/>
            <charset val="178"/>
          </rPr>
          <t>معمولا چند ساعت اضافه کار در ماه به شما تعلق می گیرد
کارمندان تا سقف ۱۲۰ ساعت
مدیران تا سقف ۱۷۵ ساعت</t>
        </r>
      </text>
    </comment>
    <comment ref="D142" authorId="0">
      <text>
        <r>
          <rPr>
            <b/>
            <sz val="9"/>
            <color indexed="81"/>
            <rFont val="B Nazanin"/>
            <charset val="178"/>
          </rPr>
          <t>فرزند شهید
جانباز بالای 25%
آزاده</t>
        </r>
      </text>
    </comment>
    <comment ref="A143" authorId="0">
      <text>
        <r>
          <rPr>
            <b/>
            <sz val="9"/>
            <color indexed="81"/>
            <rFont val="B Nazanin"/>
            <charset val="178"/>
          </rPr>
          <t xml:space="preserve">طبق ماده 13 ضوابط اجرایی قانون بودجه سال 139۷ کل کشور، فوق العاده ماموریت به کارمندانی که به عنوان مامور برای انجام وظیفه به خارج از حوزه شهرستان محل خدمت خود اعزام می شوند به شرح ذیل پرداخت می شود.
-  تا میزان حداقل حقوق و مزایا (11،230،000 ریال) به ماخذ یک بیستم و نسبت به مازاد به ماخذ یک پنجاهم
- در صورت عدم توقف شبانه، تنها پنجاه درصد از میزان مندرج در بند یاد شده قابل پرداخت می باشد.
</t>
        </r>
      </text>
    </comment>
    <comment ref="A145" authorId="0">
      <text>
        <r>
          <rPr>
            <b/>
            <sz val="9"/>
            <color indexed="81"/>
            <rFont val="B Nazanin"/>
            <charset val="178"/>
          </rPr>
          <t>طبق ماده 14 ضوابط اجرایی قانون بودجه سال 139۷ کل کشور، پرداخت کمک هزینه تلفن همراه تا ۳۰۰ هزار ریال در ماه به مدیران و کارمندانی که بنا به شرایط خاص باید به طور مستمر در دسترس باشند، به تشخیص رییس دستگاه اجرایی یا مقام مجاز از طرف وی مجاز است.</t>
        </r>
      </text>
    </comment>
    <comment ref="D151" authorId="0">
      <text>
        <r>
          <rPr>
            <b/>
            <sz val="9"/>
            <color indexed="81"/>
            <rFont val="B Nazanin"/>
            <charset val="178"/>
          </rPr>
          <t>حداکثر 10 سال
کارشناس مسئول یا رئیس اداره
برای کارکنان فرهنگی سوابق معاونت یا مدیریت مدرسه</t>
        </r>
      </text>
    </comment>
    <comment ref="D152" authorId="0">
      <text>
        <r>
          <rPr>
            <b/>
            <sz val="9"/>
            <color indexed="81"/>
            <rFont val="B Nazanin"/>
            <charset val="178"/>
          </rPr>
          <t>حداکثر 10 سال
معاون مدیرکل،
مدیر کل،
معاون سازمان
رئیس دستگاه</t>
        </r>
      </text>
    </comment>
    <comment ref="A153" authorId="0">
      <text>
        <r>
          <rPr>
            <b/>
            <sz val="9"/>
            <color indexed="81"/>
            <rFont val="B Nazanin"/>
            <charset val="178"/>
          </rPr>
          <t>هر ماه چه مبلغی (ریال) از شما بابت اقساط وام دریافتی از صندوق اعتباری سازمان کسر می گردد؟</t>
        </r>
      </text>
    </comment>
  </commentList>
</comments>
</file>

<file path=xl/sharedStrings.xml><?xml version="1.0" encoding="utf-8"?>
<sst xmlns="http://schemas.openxmlformats.org/spreadsheetml/2006/main" count="936" uniqueCount="557">
  <si>
    <t>حقوق ثابت و فوق العاده ها</t>
  </si>
  <si>
    <t>امتیاز</t>
  </si>
  <si>
    <t>مبلغ سال ۹۶ (ریال)</t>
  </si>
  <si>
    <t>ضریب سال ۹۶</t>
  </si>
  <si>
    <t>حداقل حقوق ۹۶</t>
  </si>
  <si>
    <t>ضرایب ثابت</t>
  </si>
  <si>
    <t>حق شغل</t>
  </si>
  <si>
    <t>فوق العاده مدیریت</t>
  </si>
  <si>
    <t>حق شاغل</t>
  </si>
  <si>
    <t>جمع</t>
  </si>
  <si>
    <t>تفاوت تطبیق</t>
  </si>
  <si>
    <t>فوق العاده شغل</t>
  </si>
  <si>
    <t>فوق العاده ویژه</t>
  </si>
  <si>
    <t>فوق العاده مناطق کمتر توسعه یافته</t>
  </si>
  <si>
    <t>فوق العاده بدی آب و هوا</t>
  </si>
  <si>
    <t>فوق العاده مناطق مرزی</t>
  </si>
  <si>
    <t>فوق العاده ایثارگری</t>
  </si>
  <si>
    <t>فوق العاده ایثارگری قانون جامع</t>
  </si>
  <si>
    <t>خدمت در مناطق جنگی</t>
  </si>
  <si>
    <t>فوق العاده سختی شرایط محیط کار</t>
  </si>
  <si>
    <t>حق اولاد</t>
  </si>
  <si>
    <t>فوق العاده نوبت کاری</t>
  </si>
  <si>
    <t>سایر</t>
  </si>
  <si>
    <t>تفاوت تطبیق (ریال)</t>
  </si>
  <si>
    <t>سایر (ریال)</t>
  </si>
  <si>
    <t>درصد ضریب تعدیل (سال ۹۷)</t>
  </si>
  <si>
    <t>مجموع افزایش حقوق در سال ۹۷</t>
  </si>
  <si>
    <t>اضافه کاری (ساعت)</t>
  </si>
  <si>
    <t>رفاهی کارکنان (ریال)</t>
  </si>
  <si>
    <t>بلی</t>
  </si>
  <si>
    <t>خیر</t>
  </si>
  <si>
    <t>مشمول قانون جامع ایثارگری</t>
  </si>
  <si>
    <t>تحت پوشش بیمه تکمیلی هستید</t>
  </si>
  <si>
    <t>تعداد بیمه تکمیلی تبعی</t>
  </si>
  <si>
    <t>پس انداز ماهیانه صندوق اعتباری (ریال)</t>
  </si>
  <si>
    <t>اقساط ماهیانه صندوق اعتباری (ریال)</t>
  </si>
  <si>
    <t>شرح دریافتی</t>
  </si>
  <si>
    <t>مبلغ (ریال)</t>
  </si>
  <si>
    <t>شرح کسور</t>
  </si>
  <si>
    <t>فوق العاده های مستمر و غیر مستمر</t>
  </si>
  <si>
    <t>ایاب و ذهاب و غذا</t>
  </si>
  <si>
    <t>کمک رفاهی بیمه تکمیلی</t>
  </si>
  <si>
    <t>بیمه حقوق</t>
  </si>
  <si>
    <t>تکمیلی تبعی یک و دو</t>
  </si>
  <si>
    <t>پس انداز سهم کارمند</t>
  </si>
  <si>
    <t>صندوق اعتباری (پس انداز)</t>
  </si>
  <si>
    <t>صندوق اعتباری (اقساط تسهیلات)</t>
  </si>
  <si>
    <t>جمع دریافتی</t>
  </si>
  <si>
    <t>مالیات</t>
  </si>
  <si>
    <t>جمع کسور</t>
  </si>
  <si>
    <t>اجاره مسکن خانه سازمانی</t>
  </si>
  <si>
    <t>شارژ خانه سازمانی</t>
  </si>
  <si>
    <t>جمع دریافتی مشمول مالیات</t>
  </si>
  <si>
    <t>فیش حقوق و دستمزد</t>
  </si>
  <si>
    <t>حکم کارگزینی سال ۱۳۹۷</t>
  </si>
  <si>
    <t>بیمه تکمیلی</t>
  </si>
  <si>
    <t>یارانه</t>
  </si>
  <si>
    <t>جمع بیمه تکمیلی</t>
  </si>
  <si>
    <t>اگر بیمه باشد</t>
  </si>
  <si>
    <t>اگر نباشد</t>
  </si>
  <si>
    <t>اگر تعداد زیاد شد</t>
  </si>
  <si>
    <t>حقوق ثابت (شغل، شاغل، مدیریت)</t>
  </si>
  <si>
    <t>جمع آخرین حکم کارگزینی سال 96</t>
  </si>
  <si>
    <t>حق عائله مندی</t>
  </si>
  <si>
    <t>ارشد</t>
  </si>
  <si>
    <t>خبره</t>
  </si>
  <si>
    <t>طبقه شغلی</t>
  </si>
  <si>
    <t>مقدماتی</t>
  </si>
  <si>
    <t>پایه</t>
  </si>
  <si>
    <t>عالی</t>
  </si>
  <si>
    <t xml:space="preserve">طبقه </t>
  </si>
  <si>
    <t>مرد</t>
  </si>
  <si>
    <t>زن</t>
  </si>
  <si>
    <t>وضعیت تاهل</t>
  </si>
  <si>
    <t>متاهل</t>
  </si>
  <si>
    <t>مجرد</t>
  </si>
  <si>
    <t>متاهل بدون محاسبه</t>
  </si>
  <si>
    <t>مرد یا زن</t>
  </si>
  <si>
    <t>امتیاز عایله مندی</t>
  </si>
  <si>
    <t>ضریب عایله مندی</t>
  </si>
  <si>
    <t>تعداد فرزندان</t>
  </si>
  <si>
    <t>ضریب اولاد</t>
  </si>
  <si>
    <t>امتیاز اولاد</t>
  </si>
  <si>
    <t>اولاد محاسبه شود یا خیر</t>
  </si>
  <si>
    <t>تعداد فرزند قابل محاسبه</t>
  </si>
  <si>
    <t xml:space="preserve">تعداد فرزند </t>
  </si>
  <si>
    <t>متاهل بدون محاسبه زن</t>
  </si>
  <si>
    <t>فوق العاده مشاغل تخصصی</t>
  </si>
  <si>
    <t>تا سطح کاردانی</t>
  </si>
  <si>
    <t>کارشناسی</t>
  </si>
  <si>
    <t>مدیریتی</t>
  </si>
  <si>
    <t>امتیاز فوق العاده شغل</t>
  </si>
  <si>
    <t>خدمت اداری در مناطق جنگ زده (سال)</t>
  </si>
  <si>
    <t>خدمت اداری در مناطق جنگ زده (ماه)</t>
  </si>
  <si>
    <t>خدمت منطقه جنگی سال</t>
  </si>
  <si>
    <t>خدمت منطقه جنگی ماه</t>
  </si>
  <si>
    <t>امتیاز مناطق جنگی</t>
  </si>
  <si>
    <t>معیل</t>
  </si>
  <si>
    <t>زن مرد</t>
  </si>
  <si>
    <t>وضعیت</t>
  </si>
  <si>
    <t>نتیجه</t>
  </si>
  <si>
    <t>تعداد اولاد</t>
  </si>
  <si>
    <t>امتیاز هر اولاد</t>
  </si>
  <si>
    <t>جمع امتیاز اولاد</t>
  </si>
  <si>
    <t>تحصیلات</t>
  </si>
  <si>
    <t>مهارت</t>
  </si>
  <si>
    <t>سنوات</t>
  </si>
  <si>
    <t>تجربه</t>
  </si>
  <si>
    <t>زیر دیپلم</t>
  </si>
  <si>
    <t>دیپلم</t>
  </si>
  <si>
    <t>فوق دیپلم</t>
  </si>
  <si>
    <t>لیسانس</t>
  </si>
  <si>
    <t>فوق لیسانس</t>
  </si>
  <si>
    <t>دکتری</t>
  </si>
  <si>
    <t>مدرک تحصیلی</t>
  </si>
  <si>
    <t>سال</t>
  </si>
  <si>
    <t>ماه</t>
  </si>
  <si>
    <t>جمع حق شاغل</t>
  </si>
  <si>
    <t>ضریب ثابت</t>
  </si>
  <si>
    <t>سرپرستی</t>
  </si>
  <si>
    <t>سقف سرپرستی</t>
  </si>
  <si>
    <t>جمع سرپرستی و مدیریت</t>
  </si>
  <si>
    <t>امتیاز فوق العاده مدیریت</t>
  </si>
  <si>
    <t>امتیاز نهایی حق شاغل</t>
  </si>
  <si>
    <t>رفاهیات (ریال)</t>
  </si>
  <si>
    <t>درصد جانبازي</t>
  </si>
  <si>
    <t>مدت اسارت</t>
  </si>
  <si>
    <t>مدت خدمت داوطلبانه در جبهه</t>
  </si>
  <si>
    <t> ۵ درصد</t>
  </si>
  <si>
    <t>۳ تا ۶ ماه</t>
  </si>
  <si>
    <t>تا ۱۰ درصد</t>
  </si>
  <si>
    <t>تا ۱۲ ماه</t>
  </si>
  <si>
    <t>تا ۱۵ درصد</t>
  </si>
  <si>
    <t>تا ۱۸ ماه</t>
  </si>
  <si>
    <t>تا ۲۰ درصد</t>
  </si>
  <si>
    <t>تا ۲۴ ماه</t>
  </si>
  <si>
    <t>تا ۲۵ درصد</t>
  </si>
  <si>
    <t>تا ۳۰ ماه</t>
  </si>
  <si>
    <t>تا ۳۰ درصد</t>
  </si>
  <si>
    <t>تا ۳۶ ماه</t>
  </si>
  <si>
    <t>تا ۳۵ درصد</t>
  </si>
  <si>
    <t>تا ۴۲ ماه</t>
  </si>
  <si>
    <t>تا ۴۰ درصد</t>
  </si>
  <si>
    <t>تا ۴۸ ماه</t>
  </si>
  <si>
    <t>تا ۴۵ درصد</t>
  </si>
  <si>
    <t>تا ۵۴ ماه</t>
  </si>
  <si>
    <t>تا ۵۰ درصد</t>
  </si>
  <si>
    <t>تا ۶۰ ماه</t>
  </si>
  <si>
    <t>تا ۶۰ درصد</t>
  </si>
  <si>
    <t>تا ۷۰ ماه</t>
  </si>
  <si>
    <t>بالاتر از ۶۰ درصد</t>
  </si>
  <si>
    <t>بالاتر از ۷۰ ماه</t>
  </si>
  <si>
    <t>فرزند شهید</t>
  </si>
  <si>
    <t>آزاده</t>
  </si>
  <si>
    <t>قانون جامع ایثارگری</t>
  </si>
  <si>
    <t>فوق العاده شغل (سطح تخصص شغل)</t>
  </si>
  <si>
    <t>سنوات خدمت (سال)</t>
  </si>
  <si>
    <t>سنوات خدمت (ماه)</t>
  </si>
  <si>
    <t>تجربه مربوط و مشابه (سال)</t>
  </si>
  <si>
    <t>تجربه مربوط و مشابه (ماه)</t>
  </si>
  <si>
    <t>رتبه شغلی</t>
  </si>
  <si>
    <t>سنوات مشاغل سرپرستی (سال)</t>
  </si>
  <si>
    <t>سنوات مشاغل مدیریتی (سال)</t>
  </si>
  <si>
    <t>فوق العاده ویژه (درصد)</t>
  </si>
  <si>
    <t>حداقل حقوق ۹۷</t>
  </si>
  <si>
    <t>ضریب سال 97</t>
  </si>
  <si>
    <t>ضریب سال اعمالی</t>
  </si>
  <si>
    <t>مقام سیاسی (مقامات ماده 71)</t>
  </si>
  <si>
    <t>پست سیاسی</t>
  </si>
  <si>
    <t>معاون اول رئیس جمهور</t>
  </si>
  <si>
    <t>نایب رئیس مجلس</t>
  </si>
  <si>
    <t>عضو شورای نگهبان</t>
  </si>
  <si>
    <t>وزیر</t>
  </si>
  <si>
    <t>نماینده مجلس</t>
  </si>
  <si>
    <t>استاندار</t>
  </si>
  <si>
    <t>سفیر</t>
  </si>
  <si>
    <t>معاون وزیر</t>
  </si>
  <si>
    <t>حق شغل مقام سیاسی</t>
  </si>
  <si>
    <t>امتیاز عائله مندی</t>
  </si>
  <si>
    <t>حق شغل اعمالی در حکم</t>
  </si>
  <si>
    <t>مبلغ ریالی ضریب تعدیل</t>
  </si>
  <si>
    <t>تهیه و تنظیم : صیاح الدین شهدی</t>
  </si>
  <si>
    <t>کارشناس کارگزینی سازمان هواشناسی کشور</t>
  </si>
  <si>
    <t>ZhowanMarket@gmail.com</t>
  </si>
  <si>
    <t>رئیس قوه قضائیه</t>
  </si>
  <si>
    <t>رئیس مجلس</t>
  </si>
  <si>
    <t>رئیس جمهور</t>
  </si>
  <si>
    <t>ضریب عائله مندی</t>
  </si>
  <si>
    <t>جانباز 25% و بالاتر</t>
  </si>
  <si>
    <t>پس انداز سهم کارمند ۱۵۰ ضربدر ضریب سال</t>
  </si>
  <si>
    <t>بیمه تکمیلی هر فرد (ریال)</t>
  </si>
  <si>
    <t>یارانه بیمه تکمیلی هر فرد (ریال)</t>
  </si>
  <si>
    <t>تعداد شمول یارانه بیمه تکمیلی</t>
  </si>
  <si>
    <t xml:space="preserve">شرح میزان حقوق </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</si>
  <si>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</si>
  <si>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</si>
  <si>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</si>
  <si>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</si>
  <si>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</si>
  <si>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مبلغ حقوق</t>
  </si>
  <si>
    <t>نرخ مالیات</t>
  </si>
  <si>
    <t>مبلغ مالیات</t>
  </si>
  <si>
    <t>مالیات پرداختی</t>
  </si>
  <si>
    <t>تامین اجتماعی</t>
  </si>
  <si>
    <t>بازنشستگی کشوری</t>
  </si>
  <si>
    <t>مبلغ حق بیمه</t>
  </si>
  <si>
    <t>معاف از پرداخت مالیات</t>
  </si>
  <si>
    <t>معاف از پرداخت کسور بازنشستگی</t>
  </si>
  <si>
    <t>مناطق کمتر توسعه یافته (درصد)</t>
  </si>
  <si>
    <t>بدی آب و هوا (درصد)</t>
  </si>
  <si>
    <t>حقوق و مزایای مستمر حکم ۹۷</t>
  </si>
  <si>
    <t>یک ۲۰ م حداقل حقوق</t>
  </si>
  <si>
    <t>یک ۵۰م تفاضل حقوق مستمر و حداقل حقوق</t>
  </si>
  <si>
    <t>ماموریت (روز)</t>
  </si>
  <si>
    <t>نوع ماموریت</t>
  </si>
  <si>
    <t>شبانه روزی</t>
  </si>
  <si>
    <t>روزانه</t>
  </si>
  <si>
    <t>مبلغ ماموریت روزانه در فیش حقوقی</t>
  </si>
  <si>
    <t>کمک رفاهی دوم</t>
  </si>
  <si>
    <t>کارانه (ریال)</t>
  </si>
  <si>
    <t>کمک رفاهی دوم (ریال)</t>
  </si>
  <si>
    <t>کمک هزینه تلفن همراه</t>
  </si>
  <si>
    <t>--</t>
  </si>
  <si>
    <t>کمک هزینه ایاب و ذهاب</t>
  </si>
  <si>
    <t>شهرهای کمتر از ۵۰۰ هزار نفر</t>
  </si>
  <si>
    <t>شهرهای بیش از ۵۰۰ هزار نفر</t>
  </si>
  <si>
    <t>تهران</t>
  </si>
  <si>
    <t xml:space="preserve">کمک هزینه غذا </t>
  </si>
  <si>
    <t>کمک هزینه ایاب و ذهاب و غذا در فیش حقوقی</t>
  </si>
  <si>
    <t xml:space="preserve"> ایاب و ذهاب (محل کار)</t>
  </si>
  <si>
    <t>تعداد فرزند زیر ۶ سال</t>
  </si>
  <si>
    <t>کمک هزینه مهد کودک</t>
  </si>
  <si>
    <t>آیا شامل کمک هزینه مهد کودک می شود؟</t>
  </si>
  <si>
    <t>کارانه</t>
  </si>
  <si>
    <t>صندوق  بازنشستگی</t>
  </si>
  <si>
    <t>جمع واریزی فیش</t>
  </si>
  <si>
    <t>تعداد فرزندان زیر ۶  سال</t>
  </si>
  <si>
    <t>https://shenasname.ir/</t>
  </si>
  <si>
    <t>جمع حقوق و مزایای واریزی (ریال)</t>
  </si>
  <si>
    <t>ماموریت</t>
  </si>
  <si>
    <t>مابه التفاوت حداقل حقوق 97</t>
  </si>
  <si>
    <t>مبلغ قابل پرداخت بیمه تکمیلی</t>
  </si>
  <si>
    <t>مبلغ یارانه بیمه تکمیلی</t>
  </si>
  <si>
    <t>فوق العاده اضافه کاری</t>
  </si>
  <si>
    <t>مقام باشد نباشد</t>
  </si>
  <si>
    <t>اگر بالای 5 میلیون باشد نباشد</t>
  </si>
  <si>
    <t>آموزگار یا دبیر آموزش و پرورش</t>
  </si>
  <si>
    <t>رتبه بندی فرهنگیان</t>
  </si>
  <si>
    <t>تخصصي  و عمومي درجه 1</t>
  </si>
  <si>
    <t>تخصصي و عمومي درجه 2</t>
  </si>
  <si>
    <t>تخصصي و عمومي درجه 3</t>
  </si>
  <si>
    <t>بیش از یک نشان دولتی</t>
  </si>
  <si>
    <t>امتیاز فوق العاده دارندگان نشان های دولتی</t>
  </si>
  <si>
    <t>فوف العاده نشان های دولتی</t>
  </si>
  <si>
    <t>فرهنگیان</t>
  </si>
  <si>
    <t>فوق العاده ویژه قابل قبول</t>
  </si>
  <si>
    <t>حق شغل فرهنگیان</t>
  </si>
  <si>
    <t>حق شغل کارمند</t>
  </si>
  <si>
    <t>معلم یا کارمند</t>
  </si>
  <si>
    <t>مقام یا غیر</t>
  </si>
  <si>
    <t>مقامات سیاسی (ماده ۷۱ قانون)</t>
  </si>
  <si>
    <t>سایر کارمندان یا مدیران</t>
  </si>
  <si>
    <t>گروه یک : آموزگارن ، دبیران ، معاونان یا مدیران مدارس (کارمندان مشمول رتبه بندی فرهنگیان)</t>
  </si>
  <si>
    <t>گروه دو : مقامات سیاسی : روسای قوا، معاون اول رییس جمهور، روسای دستگاه های اجرایی، وزیران، سفرا، استانداران، نمایندگان مجلس</t>
  </si>
  <si>
    <t>گروه سه : سایر کارمندان و مدیران دولت (کارمندان واحد ستادی آموزش و پرورش، کارشناسان، رییس ادارات، مدیران و سایرکارکنان دولت)</t>
  </si>
  <si>
    <t>حق شغل (ریال)</t>
  </si>
  <si>
    <t>فوق العاده مدیریت (ریال)</t>
  </si>
  <si>
    <t>حق شاغل (ریال)</t>
  </si>
  <si>
    <t>فوق العاده مناطق کمتر توسعه یافته (ریال)</t>
  </si>
  <si>
    <t>فوق العاده بدی آب و هوا (ریال)</t>
  </si>
  <si>
    <t>درصد فوق لعاده مناطق کمتر توسعه یافته</t>
  </si>
  <si>
    <t>درصد فوق العاده بدی آب و هوا</t>
  </si>
  <si>
    <t>نحوه محاسبه درصد فوق العاده مناطق کمتر توسعه یافته و بدی آب و هوا</t>
  </si>
  <si>
    <r>
      <t xml:space="preserve">در قسمت </t>
    </r>
    <r>
      <rPr>
        <sz val="14"/>
        <color rgb="FFFFFF00"/>
        <rFont val="B Nazanin"/>
        <charset val="178"/>
      </rPr>
      <t>زرد رنگ</t>
    </r>
    <r>
      <rPr>
        <sz val="14"/>
        <color theme="0"/>
        <rFont val="B Nazanin"/>
        <charset val="178"/>
      </rPr>
      <t xml:space="preserve"> مطابق آخرین حکم کارگزینی ورود اطلاعات نمایید.</t>
    </r>
  </si>
  <si>
    <t>فوق العاده شغل (ریال)</t>
  </si>
  <si>
    <t>فوق العاده ایثارگری (ریال)</t>
  </si>
  <si>
    <t>فوق العاده ویژه (ریال)</t>
  </si>
  <si>
    <t>درصد فوق العاده ویژه</t>
  </si>
  <si>
    <r>
      <t xml:space="preserve">نتایج در قسمت </t>
    </r>
    <r>
      <rPr>
        <sz val="14"/>
        <color theme="9"/>
        <rFont val="B Nazanin"/>
        <charset val="178"/>
      </rPr>
      <t>سبز رنگ</t>
    </r>
    <r>
      <rPr>
        <sz val="14"/>
        <color theme="0"/>
        <rFont val="B Nazanin"/>
        <charset val="178"/>
      </rPr>
      <t xml:space="preserve"> نمایش داده خواهد شد.</t>
    </r>
  </si>
  <si>
    <t>نحوه محاسبه درصد فوق العاده ویژه</t>
  </si>
  <si>
    <t>فوق العاده سختی شرایط محط کار (ریال)</t>
  </si>
  <si>
    <t>امتیاز سنوات</t>
  </si>
  <si>
    <t>امتیاز تجربه</t>
  </si>
  <si>
    <t>امتیاز تحصیلات</t>
  </si>
  <si>
    <t>امتیاز مهارت</t>
  </si>
  <si>
    <t>نحوه محاسبه درصد فوق العاده نوبت کاری</t>
  </si>
  <si>
    <t>فوق العاده نوبت کاری (ریال)</t>
  </si>
  <si>
    <r>
      <t xml:space="preserve">نتیجه در قسمت </t>
    </r>
    <r>
      <rPr>
        <sz val="14"/>
        <color theme="9"/>
        <rFont val="B Nazanin"/>
        <charset val="178"/>
      </rPr>
      <t>سبز رنگ</t>
    </r>
    <r>
      <rPr>
        <sz val="14"/>
        <color theme="0"/>
        <rFont val="B Nazanin"/>
        <charset val="178"/>
      </rPr>
      <t xml:space="preserve"> نمایش داده خواهد شد.</t>
    </r>
  </si>
  <si>
    <t>قابل توجه</t>
  </si>
  <si>
    <t>چون امتیاز حق شاغل شما بیش از ۷۵٪ حق شغلتان است، سیستم بصورت خودکار، ۷۵٪ از حق شغل را محاسبه خواهد نمود</t>
  </si>
  <si>
    <t>در قسمت ورود اطلاعات، سنوات خدمت را بیش از ۳۰ سال وارد نموده اید، سیستم بصورت خودکار ۳۰ سال را محاسبه خواهد نمود.</t>
  </si>
  <si>
    <t>در قسمت ورود اطلاعات، تجربه مربوط و مشابه را بیش از ۳۰ سال وارد نموده اید، سیستم بصورت خودکار ۳۰ سال محاسبه خواهد نمود.</t>
  </si>
  <si>
    <t>در قسمت ورود اطلاعات، ساعات آموزش ضمن خدمت را بیش از ۱۰۰۰ ساعت وارد نموده اید، سیستم بصورت خودکار ۱۰۰۰ ساعت را محاسبه خواهد نمود.</t>
  </si>
  <si>
    <t>امتیاز آموزش</t>
  </si>
  <si>
    <t>جمع امتیاز تحصیلات، مهارت، سنوات، تجربه و آموزش</t>
  </si>
  <si>
    <t>مدیریت</t>
  </si>
  <si>
    <t>ضریب تعدیل</t>
  </si>
  <si>
    <t>ضریب اعمالی</t>
  </si>
  <si>
    <t>متاهل یا معیل</t>
  </si>
  <si>
    <t>امتیاز ایثارگری قابل محاسبه</t>
  </si>
  <si>
    <t>از ۳ تا ۶ ماه</t>
  </si>
  <si>
    <t>امتیاز درصد جانبازي</t>
  </si>
  <si>
    <t>امتیاز مدت اسارت</t>
  </si>
  <si>
    <t>امتیاز خدمت داوطلبانه در جبهه</t>
  </si>
  <si>
    <t>امتیاز فرزند شهید</t>
  </si>
  <si>
    <t>جمع امتیاز حالات ایثارگری</t>
  </si>
  <si>
    <t>مجموع امتیازات ایثارگری شما بیش از ۱۵۰۰ امتیاز است، اما مطابق تبصره ۱ از بند ۴  ماده ۶۸ قانون مدیریت خدمات کشوری،  ۱۵۰۰ امتیاز به شما تعلق خواهد گرفت.</t>
  </si>
  <si>
    <t>پنج روز در هفته (۲۲)</t>
  </si>
  <si>
    <t>شش روز در هفته (۲۶)</t>
  </si>
  <si>
    <t>هفت روز در هفته (۳۰)</t>
  </si>
  <si>
    <t>مابه التفاوت حداقل حقوق</t>
  </si>
  <si>
    <t>جدول محاسبات امتیازات حق شاغل، با توجه به اطلاعات وارد شده در کاربرگ ورود اطلاعات</t>
  </si>
  <si>
    <t>جدول محاسبات امتیازات فوق العاده ایثارگری، با توجه به اطلاعات وارد شده در کاربرگ ورود اطلاعات</t>
  </si>
  <si>
    <t>درصد جانبازی</t>
  </si>
  <si>
    <t>خدمت داوطلبانه در جبهه</t>
  </si>
  <si>
    <t>شاخص</t>
  </si>
  <si>
    <t>جدول محاسبه مالیات متعلقه، از مجموع دریافتی های مشمول مالیات</t>
  </si>
  <si>
    <t>کارکنان</t>
  </si>
  <si>
    <t>امتیاز پایه</t>
  </si>
  <si>
    <t>امتیاز سرپرستی</t>
  </si>
  <si>
    <t>امتیاز مدیریتی</t>
  </si>
  <si>
    <t>قابل احتساب</t>
  </si>
  <si>
    <t xml:space="preserve">مبلغ مشمول مالیات </t>
  </si>
  <si>
    <t>مشمول رتبه بندی فرهنگیان</t>
  </si>
  <si>
    <t>کمک هزینه غذا (تعداد روزهای کاری)</t>
  </si>
  <si>
    <t>مبالغ ریالی ناشی از اعمال ضریب تعدیل</t>
  </si>
  <si>
    <t>مبالغ ریالی پس از اعمال ضریب سال ۹۷</t>
  </si>
  <si>
    <t>مبالغ ریالی نهایی حکم کارگزینی سال ۹۷</t>
  </si>
  <si>
    <t>دو هفتم مشمول مالیات</t>
  </si>
  <si>
    <t>مبلغ پرداختی بابت بیمه تکمیلی</t>
  </si>
  <si>
    <t>سقف معاف مالیاتی</t>
  </si>
  <si>
    <t>مساوی یا کمتر از میزان معافیت مالیاتی*</t>
  </si>
  <si>
    <t>عنوان</t>
  </si>
  <si>
    <t>میزان معافیت مالیاتی کارکنان دولت در ماه، مطابق جدول روبرو محاسبه خواهد شد.</t>
  </si>
  <si>
    <t>سقف معافیت مالیاتی سال ۹۷</t>
  </si>
  <si>
    <t>دو هفتم مبلغ مشمول مالیات</t>
  </si>
  <si>
    <t>کسور ناشی از بیمه تکمیلی</t>
  </si>
  <si>
    <t>همراهان گرامی، در صورتی که تونستیم تا حدودی رضایت شما عزیزان رو جلب کنیم، دعا برای سلامتی بیماران سرزمین مون رو فراموش نکنید.</t>
  </si>
  <si>
    <t>محاسبه 75% (حق شغل و مدیریت)</t>
  </si>
  <si>
    <t>بسمه تعالی</t>
  </si>
  <si>
    <t>حکم کارگزینی کارمندان رسمی</t>
  </si>
  <si>
    <t>فرم ع - 32 ( 12 - 87) ت 4</t>
  </si>
  <si>
    <t>1 - دستگاه اجرایی :</t>
  </si>
  <si>
    <t>2 - نام و نام خانوادگی :</t>
  </si>
  <si>
    <t>3 - نام پدر :</t>
  </si>
  <si>
    <t>4 - شماره ملی کارمند :</t>
  </si>
  <si>
    <t>5 - شماره مستخدم :</t>
  </si>
  <si>
    <t xml:space="preserve">6 - شماره شناسنامه : </t>
  </si>
  <si>
    <t>7 - محل صدور :</t>
  </si>
  <si>
    <t>8 - محل تولد :</t>
  </si>
  <si>
    <t>9 - تاریخ تولد :</t>
  </si>
  <si>
    <t>11 - عنوان پست سازمانی :</t>
  </si>
  <si>
    <t>شماره :</t>
  </si>
  <si>
    <t>رتبه :</t>
  </si>
  <si>
    <t>14 - واحد سازمانی :</t>
  </si>
  <si>
    <t>16 - نوع استخدام :</t>
  </si>
  <si>
    <t>20- شرح حکم :</t>
  </si>
  <si>
    <t>21 - حقوق و فوق العاده ها</t>
  </si>
  <si>
    <t>الف) حقوق ثابت</t>
  </si>
  <si>
    <t>ب ) تفاوت تطبیق *</t>
  </si>
  <si>
    <t>پ ) فوق العاده شغل</t>
  </si>
  <si>
    <t>ت ) فوق العاده ویژه</t>
  </si>
  <si>
    <t>ث ) فوق العاده مناطق کمتر توسعه یافته **</t>
  </si>
  <si>
    <t>ج ) فوق العاده بدی آب و هوا ***</t>
  </si>
  <si>
    <t>چ ) فوق العاده مناطق مرزی</t>
  </si>
  <si>
    <t>ح ) فوق العاده ایثارگری</t>
  </si>
  <si>
    <t>خ ) فوق العاده ایثارگری قانون جامع</t>
  </si>
  <si>
    <t>د ) خدمت در مناطق جنگی</t>
  </si>
  <si>
    <t>جمع :</t>
  </si>
  <si>
    <t>پس از وضع کسور قانونی از :                    فصل :                     ماده :                       قابل پرداخت است.</t>
  </si>
  <si>
    <t>24 - تاریخ صدور و شماره حکم :</t>
  </si>
  <si>
    <t>تاریخ :</t>
  </si>
  <si>
    <t>25 -  نام و نام خانوادگی مقام مسئول :</t>
  </si>
  <si>
    <t>عنوان پست سازمانی :</t>
  </si>
  <si>
    <t xml:space="preserve">صادر کننده : </t>
  </si>
  <si>
    <t>امضا</t>
  </si>
  <si>
    <t>نسخه :</t>
  </si>
  <si>
    <t>* در سال 1388 با توجه به بند (11) قانون بودجه 1388 کل کشور تفاوت تطبیق در حکم حقوق ثابت می باشد.</t>
  </si>
  <si>
    <t>** بر اساس بند 7 فصل یکم عمل می شود.   *** بر اساس بند 6 فصل یکم عمل می شود.  **** بر اساس اجزا ب و ج مرحله دوم بند 8 فصل دوم عمل می شود.</t>
  </si>
  <si>
    <t>ذ) فوق العاده نشان های دولتی</t>
  </si>
  <si>
    <t>ر ) فوق العاده سختی شرایط محیط کار</t>
  </si>
  <si>
    <t>ز ) حق عائله مندی</t>
  </si>
  <si>
    <t>س) حق اولاد</t>
  </si>
  <si>
    <t>ش ) فوق العاده نوبت کاری</t>
  </si>
  <si>
    <t>ط ) سایر ****</t>
  </si>
  <si>
    <t>ظ ) مابه التفاوت حداقل حقوق</t>
  </si>
  <si>
    <t>12 - رسته :                            رشته شغلی:</t>
  </si>
  <si>
    <t xml:space="preserve">طبقه شغلی :  </t>
  </si>
  <si>
    <t>23 - تاریخ اجرای حکم :    ۱۳۹۷/۰۱/۰۱</t>
  </si>
  <si>
    <t>تهیه و تنظیم : صیاح الدین شهدی          کارشناس کارگزینی سازمان هواشناسی کشور</t>
  </si>
  <si>
    <t>15 - محل خدمت :                      استان :                            شهرستان :                         بخش :                          دهستان :</t>
  </si>
  <si>
    <t>19 - نوع حکم :  افزایش ضریب حقوق ابتدای سال</t>
  </si>
  <si>
    <t>مجموع حقوق و مزایای  سال ۹۷</t>
  </si>
  <si>
    <t xml:space="preserve">۱۷ - ایثارگری :  </t>
  </si>
  <si>
    <t>سازمان اداری و استخدامی کشور</t>
  </si>
  <si>
    <t xml:space="preserve">1 - دستگاه اجرایی : </t>
  </si>
  <si>
    <t xml:space="preserve">۴ - نام پدر : </t>
  </si>
  <si>
    <t xml:space="preserve">۵ - شماره ملی کارمند : </t>
  </si>
  <si>
    <t xml:space="preserve">استان : </t>
  </si>
  <si>
    <t xml:space="preserve">رشته: </t>
  </si>
  <si>
    <t>امضاء :</t>
  </si>
  <si>
    <t>فرم قرارداد کار معین (مشخص)</t>
  </si>
  <si>
    <t xml:space="preserve">6 - شماره شناسنامه :  </t>
  </si>
  <si>
    <t xml:space="preserve">7 - محل تولد : </t>
  </si>
  <si>
    <r>
      <t xml:space="preserve">9 - جنسیت :        </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 xml:space="preserve">زن    </t>
    </r>
    <r>
      <rPr>
        <b/>
        <sz val="11"/>
        <color theme="1"/>
        <rFont val="B Nazanin"/>
        <charset val="178"/>
      </rPr>
      <t xml:space="preserve"> </t>
    </r>
    <r>
      <rPr>
        <b/>
        <sz val="14"/>
        <color theme="1"/>
        <rFont val="B Nazanin"/>
        <charset val="178"/>
      </rPr>
      <t>□</t>
    </r>
    <r>
      <rPr>
        <b/>
        <sz val="11"/>
        <color theme="1"/>
        <rFont val="B Nazanin"/>
        <charset val="178"/>
      </rPr>
      <t xml:space="preserve"> </t>
    </r>
    <r>
      <rPr>
        <sz val="11"/>
        <color theme="1"/>
        <rFont val="B Nazanin"/>
        <charset val="178"/>
      </rPr>
      <t>مرد</t>
    </r>
  </si>
  <si>
    <t>10 - بالاترین مدرک و رشته تحصیلی :</t>
  </si>
  <si>
    <t xml:space="preserve">          مدرک : </t>
  </si>
  <si>
    <t>11 - شماره شناسه :</t>
  </si>
  <si>
    <t>8 - تاریخ تولد :             روز       ماه        سال</t>
  </si>
  <si>
    <t xml:space="preserve">12 - واحد سازمانی : </t>
  </si>
  <si>
    <t>13 - عنوان سمت :</t>
  </si>
  <si>
    <t>16 - مدت قرارداد       از تاریخ :                        تا تاریخ :</t>
  </si>
  <si>
    <r>
      <t xml:space="preserve">18- وضعیت تاهل :       </t>
    </r>
    <r>
      <rPr>
        <sz val="14"/>
        <color theme="1"/>
        <rFont val="B Nazanin"/>
        <charset val="178"/>
      </rPr>
      <t>□</t>
    </r>
    <r>
      <rPr>
        <sz val="11"/>
        <color theme="1"/>
        <rFont val="B Nazanin"/>
        <charset val="178"/>
      </rPr>
      <t xml:space="preserve"> مجرد        □ متاهل</t>
    </r>
  </si>
  <si>
    <t xml:space="preserve">19 - تعداد فرزندان : </t>
  </si>
  <si>
    <r>
      <t xml:space="preserve">20- شرح حکم : </t>
    </r>
    <r>
      <rPr>
        <b/>
        <sz val="11"/>
        <color theme="1"/>
        <rFont val="B Nazanin"/>
        <charset val="178"/>
      </rPr>
      <t xml:space="preserve"> </t>
    </r>
  </si>
  <si>
    <t>ع (۹8/12 ت 3) ۱۰۳۰7۰</t>
  </si>
  <si>
    <t>ب ) فوق العاده شغل مشاغل تخصصی</t>
  </si>
  <si>
    <t>پ ) فوق العاده ویژه</t>
  </si>
  <si>
    <t>ت ) فوق العاده مناطق کمتر توسعه یافته</t>
  </si>
  <si>
    <t>ث ) فوق العاده بدی آب و هوا</t>
  </si>
  <si>
    <t>ج ) فوق العاده ایثارگری</t>
  </si>
  <si>
    <t>چ ) خدمت در مناطق جنگی</t>
  </si>
  <si>
    <t>ح) فوق العاده نشان های دولتی</t>
  </si>
  <si>
    <t>خ ) فوق العاده سختی شرایط محیط کار</t>
  </si>
  <si>
    <t>د ) حق عائله مندی</t>
  </si>
  <si>
    <t>ذ ) حق اولاد</t>
  </si>
  <si>
    <t>ر ) نوبت کاری</t>
  </si>
  <si>
    <t>ز ) سایر</t>
  </si>
  <si>
    <t>21 - حقوق ثابت و فوق العاده ها :</t>
  </si>
  <si>
    <t>22 - جمع مبلغ قرارداد (به حروف) :                                                                                                                                      ریال</t>
  </si>
  <si>
    <t>23 - ملاحظات قرارداد :
        -   طرف قرارداد از نظر خدمات درمانیُ بازنشستگیُ حوادث ناشی از کار و غیره آن و سایر خدمات مشمول مقررات قانون تامین اجتماعی خواهد بود و حق بیمه مقرر همه ماهه برابر با قانون تامین اجتماعی به صندوق ذیربط واریز خواهد شد.
        -   کسور بازنشستگی و اقلام مشمول آن در خصوص طرف قرارداد بر اساس مقررات مورد عمل در مورد کارمندان پیمانی نظیر تعیین می گردد.
        -   بابت سنوات پایان قرارداد معادل یک ماه حقوق و مزایای مشمول کسر کسور قابل پرداخت است.
        -   طرف قرارداد مشمول استفاده از مرخصی بدون حقوق در طول دوره قرارداد نمی باشد.
        -   عقد قرارداد هیچ گونه تعهدی مبنی بر استخدام رسمی یا پیمانی از سوی دستگاه برای طرف قرارداد ایجاد نمی کند.</t>
  </si>
  <si>
    <t>24 - تعهدات طرف قرارداد :
        -   طرف قرارداد متعهد است مطابق شرح وظایف مقررات و ضوابط نسبت به انجام موضوع قرارداد اقدام کند.
        -   طرف قرارداد اقرار می کند مشمول قانون منع مداخله کارمندان دولت در معاملات دولتی مصوب سال 1337 نیست.
        -   طرف قرارداد مسئول حفظ و نگهداری وسایل و اموال در اختیار است و در صورت ایجاد خسارت می تواند با تشخیص خود من جمله از محل قرارداد خسارت مربوطه را جبران کند.</t>
  </si>
  <si>
    <t>25 - مدیر واحد مربوطه به عنوان ناظر بر حسن اجرای قرارداد مشخص می شود.</t>
  </si>
  <si>
    <t>26 - این قرارداد در 5 نسخه تنظیم شده که هر 5 نسخه حکم واحد را دارد و پس از امضاء و مهر و ثبت معتبر خواهد بود.</t>
  </si>
  <si>
    <t>27 - تاریخ اجرای قرارداد :                          تاریخ خاتمه قرارداد :</t>
  </si>
  <si>
    <t xml:space="preserve">28 - تاریخ صدور و شماره قرارداد :                تاریخ :               شماره :  </t>
  </si>
  <si>
    <t>29 -  نام و نام خانوادگی مقام مسئول دستگاه :</t>
  </si>
  <si>
    <t xml:space="preserve">   نسخه :</t>
  </si>
  <si>
    <t xml:space="preserve">  عنوان پست سازمانی :                                                  امضاء :</t>
  </si>
  <si>
    <t xml:space="preserve"> 28 - نام و نام خانوادگی و امضای طرف قرارداد :</t>
  </si>
  <si>
    <t xml:space="preserve">15 - محل خدمت :                   دهستان:                               بخش :                                          شهرستان :                                                 استان : </t>
  </si>
  <si>
    <r>
      <t xml:space="preserve">17 - وضعیت ایثارگری :                         </t>
    </r>
    <r>
      <rPr>
        <sz val="12"/>
        <color theme="1"/>
        <rFont val="Arial"/>
        <family val="2"/>
      </rPr>
      <t>□</t>
    </r>
    <r>
      <rPr>
        <sz val="11"/>
        <color theme="1"/>
        <rFont val="Arial"/>
        <family val="2"/>
      </rPr>
      <t xml:space="preserve"> </t>
    </r>
    <r>
      <rPr>
        <sz val="11"/>
        <color theme="1"/>
        <rFont val="B Nazanin"/>
        <charset val="178"/>
      </rPr>
      <t xml:space="preserve">جانباز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رزمنده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 xml:space="preserve">آزاده  </t>
    </r>
    <r>
      <rPr>
        <sz val="11"/>
        <color theme="1"/>
        <rFont val="Arial"/>
        <family val="2"/>
      </rPr>
      <t xml:space="preserve">                     </t>
    </r>
    <r>
      <rPr>
        <sz val="12"/>
        <color theme="1"/>
        <rFont val="Arial"/>
        <family val="2"/>
      </rPr>
      <t>□</t>
    </r>
    <r>
      <rPr>
        <sz val="11"/>
        <color theme="1"/>
        <rFont val="Arial"/>
        <family val="2"/>
      </rPr>
      <t xml:space="preserve"> </t>
    </r>
    <r>
      <rPr>
        <sz val="11"/>
        <color theme="1"/>
        <rFont val="B Nazanin"/>
        <charset val="178"/>
      </rPr>
      <t>فرزند شهید</t>
    </r>
  </si>
  <si>
    <t xml:space="preserve">محل صدور :                  شهرستان : </t>
  </si>
  <si>
    <t>فاصله دو تاریخ</t>
  </si>
  <si>
    <t>هر دو کوچکتر</t>
  </si>
  <si>
    <t>هر دو بزرگتر</t>
  </si>
  <si>
    <t>اولی کوچکتر دومی بزرگتر</t>
  </si>
  <si>
    <t>جمع دو مدت</t>
  </si>
  <si>
    <t>فاصله معمولی</t>
  </si>
  <si>
    <t>فاصله محروم</t>
  </si>
  <si>
    <t>خردادماه 98</t>
  </si>
  <si>
    <t>معاونت توسعه مدیریت و منابع</t>
  </si>
  <si>
    <t>رتبه استحقاقی</t>
  </si>
  <si>
    <t>مبلغ نوبت کاری (ریال)</t>
  </si>
  <si>
    <t>تعداد</t>
  </si>
  <si>
    <t>جمع تجربه قابل قبول (جهت محاسبه طبقه و رتبه)</t>
  </si>
  <si>
    <t>مناطق محروم</t>
  </si>
  <si>
    <t>برخوردار</t>
  </si>
  <si>
    <t>شرکتی (مرتبط)</t>
  </si>
  <si>
    <t>خدمت وظیفه عمومی</t>
  </si>
  <si>
    <t>روز</t>
  </si>
  <si>
    <t>توسعه یافتگی</t>
  </si>
  <si>
    <t>نوع سابقه</t>
  </si>
  <si>
    <t>تجربه قابل قبول (مدت)</t>
  </si>
  <si>
    <t>تاریخ پایان (انتها)</t>
  </si>
  <si>
    <t>تاریخ شروع (ابتدا)</t>
  </si>
  <si>
    <t>نوبت کاری (درصد)</t>
  </si>
  <si>
    <r>
      <t xml:space="preserve">لطفا تنها در سلول های </t>
    </r>
    <r>
      <rPr>
        <b/>
        <sz val="14"/>
        <color rgb="FFFFFF00"/>
        <rFont val="B Roya"/>
        <charset val="178"/>
      </rPr>
      <t>زرد رنگ</t>
    </r>
    <r>
      <rPr>
        <b/>
        <sz val="14"/>
        <color theme="1"/>
        <rFont val="B Roya"/>
        <charset val="178"/>
      </rPr>
      <t xml:space="preserve"> ورود اطلاعات نمایید.</t>
    </r>
  </si>
  <si>
    <t>محاسبه مبلغ نوبت کاری کارکنان قرارداد کارمعین در سال 1398</t>
  </si>
  <si>
    <t>دکتری تخصصی PHD</t>
  </si>
  <si>
    <t>تعداد طبقه</t>
  </si>
  <si>
    <t>طبقه</t>
  </si>
  <si>
    <t xml:space="preserve">2 - نام :                                   ۳ - نام خانوادگی :  </t>
  </si>
  <si>
    <t>نرخ هر ساعت اضافه کار حکم قبلی (ریال)</t>
  </si>
  <si>
    <t>حداقل دستمزد سال 98 (ریال)</t>
  </si>
  <si>
    <t>حق ماموریت روزانه حکم قبلی (با بیتوته)</t>
  </si>
  <si>
    <t>حق ماموریت روزانه حکم قبلی (بدون بیتوته)</t>
  </si>
  <si>
    <t>حقوق و مزایای مبنای کسور بازنشستگی (ریال)</t>
  </si>
  <si>
    <t>حداقل حقوق سال 98 (ریال)</t>
  </si>
  <si>
    <t>حق ماموریت روزانه حکم جدید (با بیتوته)</t>
  </si>
  <si>
    <t>حق ماموریت روزانه حکم جدید (بدون بیتوته)</t>
  </si>
  <si>
    <t>درصد افزایش امتیازات در دستگاه شما (0 تا 50)</t>
  </si>
  <si>
    <t>45 روز تا 3 ماه</t>
  </si>
  <si>
    <t>کاردانی</t>
  </si>
  <si>
    <t>توسعه ارشد</t>
  </si>
  <si>
    <t>توسعه دیپلم</t>
  </si>
  <si>
    <t>آب و هوا ارشد</t>
  </si>
  <si>
    <t>آب و هوا دیپلم</t>
  </si>
  <si>
    <t>عملیاتی</t>
  </si>
  <si>
    <t>ردیف</t>
  </si>
  <si>
    <t>شهرستان</t>
  </si>
  <si>
    <t>مرکز استان</t>
  </si>
  <si>
    <t>ستاد (ملی)</t>
  </si>
  <si>
    <t>سطح یک</t>
  </si>
  <si>
    <t>سطح دو</t>
  </si>
  <si>
    <t>سطح سه</t>
  </si>
  <si>
    <t>معاون اداره و همتراز</t>
  </si>
  <si>
    <t>رئیس اداره و همتراز</t>
  </si>
  <si>
    <t>مدیرکل و همتراز</t>
  </si>
  <si>
    <t>معاون مدیرکل و همتراز</t>
  </si>
  <si>
    <t>معاون موسسه و همتراز</t>
  </si>
  <si>
    <t>حوزه جغرافیایی خدمت</t>
  </si>
  <si>
    <t>سطح مدیریت</t>
  </si>
  <si>
    <t>سمت (پست)</t>
  </si>
  <si>
    <t>فوق العاده نوبت کاری (درصد)</t>
  </si>
  <si>
    <t>طبقه مناطق عملیاتی</t>
  </si>
  <si>
    <t>وضعیت توسعه یافتگی محل خدمت شما</t>
  </si>
  <si>
    <t>مشمول فوق العاده مناطق عملیاتی هستید؟</t>
  </si>
  <si>
    <t>جمع مبالغ آخرین قرارداد کار معین شما  (ریال)</t>
  </si>
  <si>
    <t>جهت محاسبه مبلغ سایر، مبلغ آخرین قرارداد خود را در کادر زیر وارد نمایید</t>
  </si>
  <si>
    <t>امتیازات فصل دهم قانون مدیریت در سازمان شما مشمول چند درصد افزایش شده است؟</t>
  </si>
  <si>
    <t>بر اساس جزء (پ) بند (4) فصل دوم بخشنامه 14593 عمل شود؟</t>
  </si>
  <si>
    <t>تطبیق کارمندان به طبقات و رتبه های شغلی مطابق بخشنامه 14593 معاونت توسعه مدیریت و سرمایه انسانی رئیس جمهور (سابق) صورت پذیرد.</t>
  </si>
  <si>
    <t>جدول زیر برای آن دسته از کارمندان قراردادی است که سمت مدیریتی دارند</t>
  </si>
  <si>
    <t>محل خدمت شما در استان های محروم یا مناطق روستایی قرار دارد</t>
  </si>
  <si>
    <t>با استناد به بخشنامه شماره 696488 مورخ ۱۳۹۸/۱۱/۳۰ سازمان برنامه و بودجه کشور و دستورالعمل اجرایی آن</t>
  </si>
  <si>
    <t>لطفا با دقت کامل  تنها در خانه های زرد رنگ جداول زیر ورود اطلاعات نمایید</t>
  </si>
  <si>
    <t>فهرست مناطق عملیاتی موضوع ماده 112 قانون برنامه ششم توسعه</t>
  </si>
  <si>
    <t>میزان ساعات آموزشی مصوب گذرانده (تا  اول اسفند 98)</t>
  </si>
  <si>
    <t>مشاغل کاردانی و کارشناسی با توجه به عنوان رشته شغلی کارمند</t>
  </si>
  <si>
    <t>تهیه و تنظیم : صیاح الدین شهدی               کارشناس امور اداری و کارگزینی</t>
  </si>
  <si>
    <t>https://www.instagram.com/sayah.shahdi/</t>
  </si>
  <si>
    <t>دارنده نشان های دولتی هستید؟</t>
  </si>
  <si>
    <t>جنسیت     (زن - مرد)</t>
  </si>
  <si>
    <t>جهت ورود به صفحات مورد نظر (نتایج محاسبات) کلیک نمایید.</t>
  </si>
  <si>
    <t>ورود</t>
  </si>
  <si>
    <t>جدول محاسبات</t>
  </si>
  <si>
    <t>سوابق قراردادی</t>
  </si>
  <si>
    <t>جمع امتیاز حق شغل</t>
  </si>
  <si>
    <t>نحوه تطبیق کارمندان قرارداد انجام کار معین (مشخص) با جداول امتیازات فصل دهم قانون مدیریت خدمات کشوری</t>
  </si>
  <si>
    <t>سابقه خدمت (سنوات)</t>
  </si>
  <si>
    <t>تجربه قابل قبول (جهت محاسبه طبقه و رتبه)</t>
  </si>
  <si>
    <t>طبقه استحقاقی (با توجه به سوابق)</t>
  </si>
  <si>
    <t>رتبه استحقاقی (با توجه به سطح شغل)</t>
  </si>
  <si>
    <t>حدول محاسبه امتیاز حق شغل</t>
  </si>
  <si>
    <t>جدول محاسبه امتیاز حق شغل</t>
  </si>
  <si>
    <t>جدول محاسبه امتیاز حق شاغل</t>
  </si>
  <si>
    <t>قرارداد کار معین (در قالب جدید)</t>
  </si>
  <si>
    <t>جدول مربوط به نتایج محاسبات با توجه به اطلاعات وارد شده در کاربرگ ورود اطلاعات</t>
  </si>
  <si>
    <t>حقوق ثابت و فوق العاده ها :</t>
  </si>
  <si>
    <t>تطبیق امتیازات</t>
  </si>
  <si>
    <t>افزایش امتیازات</t>
  </si>
  <si>
    <t>اعمال 80 درصد</t>
  </si>
  <si>
    <t>طبقه ورودی (با توجه به مدرک تحصیلی)</t>
  </si>
  <si>
    <t>جمع حکم جدید برای محاسبه بند سایر قراردادی  (ریال)</t>
  </si>
  <si>
    <t>درصد افزایش حقوق و مزایا</t>
  </si>
  <si>
    <t>درصد رشد نرخ اضافه کار</t>
  </si>
  <si>
    <t>جمع مبالغ قرارداد جدید (ریال)</t>
  </si>
  <si>
    <t>جمع مبالغ قرارداد قدیم (ریال)</t>
  </si>
  <si>
    <t>درصد رشد نرخ حق ماموریت روزانه (با بیتوته)</t>
  </si>
  <si>
    <t>درصد رشد نرخ حق ماموریت روزانه (بدون بیتوته)</t>
  </si>
  <si>
    <t>نرخ هر ساعت اضافه کار حکم جدید (ریال)</t>
  </si>
  <si>
    <t>شناسنامه قانون</t>
  </si>
  <si>
    <t>کارشناس امور اداری و کارگزینی سازمان هواشناسی کشور</t>
  </si>
  <si>
    <t>کاربرگ ورود اطلاعات</t>
  </si>
  <si>
    <t>امتیاز فوق العاده سختی شرایط محیط کار (0 تا 3000) معمولا کمتر از 1000</t>
  </si>
  <si>
    <t>در کادر زیر تاریخ استخدام قراردادی خود را وارد نمایید. (عدد سال را 4 رقمی باشد)</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</si>
</sst>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3000401]0"/>
    <numFmt numFmtId="165" formatCode="#,##0;[Red]#,##0"/>
    <numFmt numFmtId="166" formatCode="0;[Red]0"/>
    <numFmt numFmtId="167" formatCode="0.00;[Red]0.00"/>
    <numFmt numFmtId="168" formatCode="0.0;[Red]0.0"/>
    <numFmt numFmtId="169" formatCode="0.0"/>
  </numFmts>
  <fonts count="74">
    <font>
      <sz val="11"/>
      <color theme="1"/>
      <name val="Arial"/>
      <family val="2"/>
      <scheme val="minor"/>
    </font>
    <font>
      <sz val="11"/>
      <color theme="1"/>
      <name val="Arial"/>
      <family val="2"/>
      <charset val="178"/>
      <scheme val="minor"/>
    </font>
    <font>
      <sz val="11"/>
      <color theme="1"/>
      <name val="Arial"/>
      <family val="2"/>
      <charset val="178"/>
      <scheme val="minor"/>
    </font>
    <font>
      <sz val="12"/>
      <color theme="1"/>
      <name val="B Nazanin"/>
      <charset val="178"/>
    </font>
    <font>
      <sz val="14"/>
      <color theme="1"/>
      <name val="B Nazanin"/>
      <charset val="178"/>
    </font>
    <font>
      <b/>
      <sz val="12"/>
      <color theme="1"/>
      <name val="B Nazanin"/>
      <charset val="178"/>
    </font>
    <font>
      <b/>
      <sz val="12"/>
      <color theme="1"/>
      <name val="B Roya"/>
      <charset val="178"/>
    </font>
    <font>
      <b/>
      <sz val="14"/>
      <color theme="1"/>
      <name val="B Roya"/>
      <charset val="178"/>
    </font>
    <font>
      <b/>
      <sz val="16"/>
      <color theme="1"/>
      <name val="B Titr"/>
      <charset val="178"/>
    </font>
    <font>
      <b/>
      <sz val="12"/>
      <color theme="0"/>
      <name val="B Nazanin"/>
      <charset val="178"/>
    </font>
    <font>
      <u/>
      <sz val="11"/>
      <color theme="10"/>
      <name val="Arial"/>
      <family val="2"/>
      <scheme val="minor"/>
    </font>
    <font>
      <sz val="14"/>
      <color theme="0"/>
      <name val="B Nazanin"/>
      <charset val="178"/>
    </font>
    <font>
      <b/>
      <sz val="11"/>
      <color theme="1"/>
      <name val="B Roya"/>
      <charset val="178"/>
    </font>
    <font>
      <b/>
      <sz val="9"/>
      <color theme="1"/>
      <name val="B Roya"/>
      <charset val="178"/>
    </font>
    <font>
      <b/>
      <sz val="12"/>
      <color theme="1"/>
      <name val="B Mitra"/>
      <charset val="178"/>
    </font>
    <font>
      <b/>
      <sz val="11"/>
      <color theme="1"/>
      <name val="B Nazanin"/>
      <charset val="178"/>
    </font>
    <font>
      <b/>
      <sz val="9"/>
      <color indexed="81"/>
      <name val="B Nazanin"/>
      <charset val="178"/>
    </font>
    <font>
      <sz val="9"/>
      <color indexed="81"/>
      <name val="B Nazanin"/>
      <charset val="178"/>
    </font>
    <font>
      <b/>
      <sz val="14"/>
      <color theme="1"/>
      <name val="B Nazanin"/>
      <charset val="178"/>
    </font>
    <font>
      <u/>
      <sz val="11"/>
      <color theme="10"/>
      <name val="Arial"/>
      <family val="2"/>
      <charset val="178"/>
      <scheme val="minor"/>
    </font>
    <font>
      <sz val="11"/>
      <color theme="1"/>
      <name val="B Nazanin"/>
      <charset val="178"/>
    </font>
    <font>
      <b/>
      <sz val="20"/>
      <color theme="1"/>
      <name val="B Roya"/>
      <charset val="178"/>
    </font>
    <font>
      <b/>
      <sz val="24"/>
      <color theme="1"/>
      <name val="B Roya"/>
      <charset val="178"/>
    </font>
    <font>
      <b/>
      <u/>
      <sz val="11"/>
      <color theme="10"/>
      <name val="Arial"/>
      <family val="2"/>
      <scheme val="minor"/>
    </font>
    <font>
      <b/>
      <sz val="11"/>
      <color theme="0"/>
      <name val="B Roya"/>
      <charset val="178"/>
    </font>
    <font>
      <b/>
      <sz val="12"/>
      <color theme="0"/>
      <name val="B Roya"/>
      <charset val="178"/>
    </font>
    <font>
      <b/>
      <u/>
      <sz val="13"/>
      <color theme="0"/>
      <name val="Calibri"/>
      <family val="2"/>
    </font>
    <font>
      <u/>
      <sz val="11"/>
      <color theme="0"/>
      <name val="Arial"/>
      <family val="2"/>
      <scheme val="minor"/>
    </font>
    <font>
      <sz val="16"/>
      <color theme="0"/>
      <name val="B Nazanin"/>
      <charset val="178"/>
    </font>
    <font>
      <sz val="14"/>
      <color rgb="FFFFFF00"/>
      <name val="B Nazanin"/>
      <charset val="178"/>
    </font>
    <font>
      <sz val="14"/>
      <color theme="9"/>
      <name val="B Nazanin"/>
      <charset val="178"/>
    </font>
    <font>
      <sz val="18"/>
      <color theme="0"/>
      <name val="B Nazanin"/>
      <charset val="178"/>
    </font>
    <font>
      <sz val="14"/>
      <color theme="4" tint="0.79998168889431442"/>
      <name val="B Nazanin"/>
      <charset val="178"/>
    </font>
    <font>
      <sz val="18"/>
      <color theme="0"/>
      <name val="B Mitra"/>
      <charset val="178"/>
    </font>
    <font>
      <b/>
      <sz val="11"/>
      <color theme="0"/>
      <name val="B Nazanin"/>
      <charset val="178"/>
    </font>
    <font>
      <b/>
      <sz val="16"/>
      <color theme="1"/>
      <name val="B Nazanin"/>
      <charset val="178"/>
    </font>
    <font>
      <sz val="16"/>
      <color theme="8" tint="-0.499984740745262"/>
      <name val="B Nazanin"/>
      <charset val="178"/>
    </font>
    <font>
      <sz val="10"/>
      <color theme="1"/>
      <name val="B Nazanin"/>
      <charset val="178"/>
    </font>
    <font>
      <u/>
      <sz val="11"/>
      <color theme="1"/>
      <name val="B Nazanin"/>
      <charset val="178"/>
    </font>
    <font>
      <sz val="11"/>
      <color rgb="FF7030A0"/>
      <name val="B Nazanin"/>
      <charset val="178"/>
    </font>
    <font>
      <b/>
      <sz val="11"/>
      <color theme="3" tint="-0.499984740745262"/>
      <name val="B Nazanin"/>
      <charset val="178"/>
    </font>
    <font>
      <sz val="8"/>
      <color theme="0"/>
      <name val="B Nazanin"/>
      <charset val="178"/>
    </font>
    <font>
      <sz val="10"/>
      <color theme="1"/>
      <name val="B Roya"/>
      <charset val="178"/>
    </font>
    <font>
      <sz val="12"/>
      <color theme="1"/>
      <name val="Arial"/>
      <family val="2"/>
    </font>
    <font>
      <sz val="11"/>
      <color theme="1"/>
      <name val="Arial"/>
      <family val="2"/>
    </font>
    <font>
      <b/>
      <sz val="12"/>
      <color theme="2" tint="-0.749992370372631"/>
      <name val="B Nazanin"/>
      <charset val="178"/>
    </font>
    <font>
      <u/>
      <sz val="10"/>
      <color theme="2" tint="-0.749992370372631"/>
      <name val="Arial"/>
      <family val="2"/>
      <scheme val="minor"/>
    </font>
    <font>
      <b/>
      <sz val="14"/>
      <color rgb="FFFF0000"/>
      <name val="B Nazanin"/>
      <charset val="178"/>
    </font>
    <font>
      <b/>
      <sz val="12"/>
      <color theme="1"/>
      <name val="Arial"/>
      <family val="2"/>
      <scheme val="minor"/>
    </font>
    <font>
      <sz val="14"/>
      <color theme="1"/>
      <name val="Arial"/>
      <family val="2"/>
      <scheme val="minor"/>
    </font>
    <font>
      <b/>
      <sz val="14"/>
      <color theme="1"/>
      <name val="Arial"/>
      <family val="2"/>
      <scheme val="minor"/>
    </font>
    <font>
      <b/>
      <sz val="11"/>
      <color theme="1"/>
      <name val="Arial"/>
      <family val="2"/>
      <scheme val="minor"/>
    </font>
    <font>
      <sz val="12"/>
      <color theme="1"/>
      <name val="Arial"/>
      <family val="2"/>
      <scheme val="minor"/>
    </font>
    <font>
      <b/>
      <sz val="12"/>
      <color theme="0"/>
      <name val="Arial"/>
      <family val="2"/>
      <scheme val="minor"/>
    </font>
    <font>
      <b/>
      <sz val="14"/>
      <color theme="0"/>
      <name val="Arial"/>
      <family val="2"/>
      <scheme val="minor"/>
    </font>
    <font>
      <sz val="14"/>
      <color theme="1"/>
      <name val="B Roya"/>
      <charset val="178"/>
    </font>
    <font>
      <b/>
      <sz val="16"/>
      <color theme="1"/>
      <name val="B Roya"/>
      <charset val="178"/>
    </font>
    <font>
      <b/>
      <sz val="12"/>
      <color rgb="FFFF0000"/>
      <name val="B Nazanin"/>
      <charset val="178"/>
    </font>
    <font>
      <b/>
      <sz val="14"/>
      <color rgb="FFFFFF00"/>
      <name val="B Roya"/>
      <charset val="178"/>
    </font>
    <font>
      <b/>
      <sz val="12"/>
      <name val="B Nazanin"/>
      <charset val="178"/>
    </font>
    <font>
      <b/>
      <sz val="16"/>
      <color theme="9" tint="-0.499984740745262"/>
      <name val="B Nazanin"/>
      <charset val="178"/>
    </font>
    <font>
      <b/>
      <sz val="14"/>
      <color theme="8" tint="-0.499984740745262"/>
      <name val="B Nazanin"/>
      <charset val="178"/>
    </font>
    <font>
      <b/>
      <sz val="11"/>
      <color rgb="FF7030A0"/>
      <name val="B Nazanin"/>
      <charset val="178"/>
    </font>
    <font>
      <b/>
      <sz val="11"/>
      <color theme="8" tint="-0.499984740745262"/>
      <name val="B Nazanin"/>
      <charset val="178"/>
    </font>
    <font>
      <u/>
      <sz val="11"/>
      <color theme="10"/>
      <name val="B Nazanin"/>
      <charset val="178"/>
    </font>
    <font>
      <b/>
      <sz val="12"/>
      <color theme="3" tint="-0.499984740745262"/>
      <name val="B Nazanin"/>
      <charset val="178"/>
    </font>
    <font>
      <b/>
      <sz val="14"/>
      <name val="B Nazanin"/>
      <charset val="178"/>
    </font>
    <font>
      <b/>
      <sz val="16"/>
      <name val="B Nazanin"/>
      <charset val="178"/>
    </font>
    <font>
      <b/>
      <sz val="18"/>
      <name val="B Nazanin"/>
      <charset val="178"/>
    </font>
    <font>
      <b/>
      <sz val="12"/>
      <color theme="5" tint="-0.499984740745262"/>
      <name val="B Nazanin"/>
      <charset val="178"/>
    </font>
    <font>
      <u/>
      <sz val="10"/>
      <color theme="5" tint="-0.499984740745262"/>
      <name val="Arial"/>
      <family val="2"/>
      <scheme val="minor"/>
    </font>
    <font>
      <sz val="10"/>
      <color theme="5" tint="-0.499984740745262"/>
      <name val="B Nazanin"/>
      <charset val="178"/>
    </font>
    <font>
      <b/>
      <sz val="11"/>
      <color theme="5" tint="-0.499984740745262"/>
      <name val="B Nazanin"/>
      <charset val="178"/>
    </font>
    <font>
      <sz val="10"/>
      <color theme="5" tint="-0.499984740745262"/>
      <name val="Arial"/>
      <family val="2"/>
      <scheme val="minor"/>
    </font>
  </fonts>
  <fills count="4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2" tint="-0.749992370372631"/>
        <bgColor indexed="64"/>
      </patternFill>
    </fill>
    <fill>
      <patternFill patternType="solid">
        <fgColor theme="7" tint="0.59999389629810485"/>
        <bgColor theme="4" tint="0.79998168889431442"/>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92D050"/>
        <bgColor theme="4" tint="0.79998168889431442"/>
      </patternFill>
    </fill>
    <fill>
      <patternFill patternType="solid">
        <fgColor rgb="FF7030A0"/>
        <bgColor theme="4" tint="0.79998168889431442"/>
      </patternFill>
    </fill>
    <fill>
      <patternFill patternType="solid">
        <fgColor theme="3" tint="0.59999389629810485"/>
        <bgColor indexed="64"/>
      </patternFill>
    </fill>
    <fill>
      <patternFill patternType="solid">
        <fgColor rgb="FFC00000"/>
        <bgColor indexed="64"/>
      </patternFill>
    </fill>
    <fill>
      <patternFill patternType="solid">
        <fgColor rgb="FF002060"/>
        <bgColor indexed="64"/>
      </patternFill>
    </fill>
    <fill>
      <patternFill patternType="solid">
        <fgColor theme="7"/>
        <bgColor indexed="64"/>
      </patternFill>
    </fill>
    <fill>
      <patternFill patternType="solid">
        <fgColor rgb="FF00B050"/>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s>
  <cellStyleXfs count="5">
    <xf numFmtId="0" fontId="0" fillId="0" borderId="0"/>
    <xf numFmtId="0" fontId="10" fillId="0" borderId="0" applyNumberFormat="0" applyFill="0" applyBorder="0" applyAlignment="0" applyProtection="0"/>
    <xf numFmtId="0" fontId="2" fillId="0" borderId="0"/>
    <xf numFmtId="0" fontId="19" fillId="0" borderId="0" applyNumberFormat="0" applyFill="0" applyBorder="0" applyAlignment="0" applyProtection="0"/>
    <xf numFmtId="0" fontId="1" fillId="0" borderId="0"/>
  </cellStyleXfs>
  <cellXfs count="1023">
    <xf numFmtId="0" fontId="0" fillId="0" borderId="0" xfId="0"/>
    <xf numFmtId="0" fontId="4"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shrinkToFit="1"/>
    </xf>
    <xf numFmtId="0" fontId="5" fillId="13" borderId="2" xfId="0" applyFont="1" applyFill="1" applyBorder="1" applyAlignment="1" applyProtection="1">
      <alignment horizontal="right" shrinkToFit="1"/>
      <protection hidden="1"/>
    </xf>
    <xf numFmtId="0" fontId="5" fillId="13" borderId="4" xfId="0" applyFont="1" applyFill="1" applyBorder="1" applyAlignment="1" applyProtection="1">
      <alignment horizontal="right" shrinkToFit="1"/>
      <protection hidden="1"/>
    </xf>
    <xf numFmtId="0" fontId="0" fillId="0" borderId="0" xfId="0" applyProtection="1">
      <protection locked="0"/>
    </xf>
    <xf numFmtId="0" fontId="6" fillId="17" borderId="15" xfId="0" applyFont="1" applyFill="1" applyBorder="1" applyAlignment="1" applyProtection="1">
      <alignment horizontal="right" vertical="center" shrinkToFit="1"/>
      <protection hidden="1"/>
    </xf>
    <xf numFmtId="165" fontId="5" fillId="0" borderId="16" xfId="0" applyNumberFormat="1" applyFont="1" applyBorder="1" applyAlignment="1" applyProtection="1">
      <alignment horizontal="center" vertical="center"/>
      <protection hidden="1"/>
    </xf>
    <xf numFmtId="0" fontId="6" fillId="17" borderId="4" xfId="0" applyFont="1" applyFill="1" applyBorder="1" applyAlignment="1" applyProtection="1">
      <alignment horizontal="right" vertical="center" shrinkToFit="1"/>
      <protection hidden="1"/>
    </xf>
    <xf numFmtId="165" fontId="5" fillId="0" borderId="5" xfId="0" applyNumberFormat="1" applyFont="1" applyBorder="1" applyAlignment="1" applyProtection="1">
      <alignment horizontal="center" vertical="center"/>
      <protection hidden="1"/>
    </xf>
    <xf numFmtId="0" fontId="6" fillId="17" borderId="13" xfId="0" applyFont="1" applyFill="1" applyBorder="1" applyAlignment="1" applyProtection="1">
      <alignment horizontal="right" vertical="center" shrinkToFit="1"/>
      <protection hidden="1"/>
    </xf>
    <xf numFmtId="165" fontId="5" fillId="0" borderId="14" xfId="0" applyNumberFormat="1" applyFont="1" applyBorder="1" applyAlignment="1" applyProtection="1">
      <alignment horizontal="center" vertical="center"/>
      <protection hidden="1"/>
    </xf>
    <xf numFmtId="0" fontId="6" fillId="11" borderId="19" xfId="0" applyFont="1" applyFill="1" applyBorder="1" applyAlignment="1" applyProtection="1">
      <alignment horizontal="right" vertical="center" shrinkToFit="1"/>
      <protection hidden="1"/>
    </xf>
    <xf numFmtId="165" fontId="5" fillId="11" borderId="21" xfId="0" applyNumberFormat="1" applyFont="1" applyFill="1" applyBorder="1" applyAlignment="1" applyProtection="1">
      <alignment horizontal="center" vertical="center"/>
      <protection hidden="1"/>
    </xf>
    <xf numFmtId="0" fontId="4" fillId="0" borderId="0" xfId="0" applyFont="1" applyAlignment="1" applyProtection="1">
      <alignment horizontal="center"/>
      <protection hidden="1"/>
    </xf>
    <xf numFmtId="0" fontId="4" fillId="14" borderId="41" xfId="0" applyFont="1" applyFill="1" applyBorder="1" applyAlignment="1" applyProtection="1">
      <alignment horizontal="center"/>
      <protection hidden="1"/>
    </xf>
    <xf numFmtId="0" fontId="4" fillId="0" borderId="41" xfId="0" applyFont="1" applyBorder="1" applyAlignment="1" applyProtection="1">
      <alignment horizontal="center"/>
      <protection hidden="1"/>
    </xf>
    <xf numFmtId="164" fontId="4" fillId="0" borderId="37" xfId="0" applyNumberFormat="1" applyFont="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2" xfId="0" applyFont="1" applyBorder="1" applyAlignment="1" applyProtection="1">
      <alignment horizontal="center"/>
      <protection hidden="1"/>
    </xf>
    <xf numFmtId="164" fontId="4" fillId="0" borderId="43" xfId="0" applyNumberFormat="1"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14" borderId="42" xfId="0" applyFont="1" applyFill="1" applyBorder="1" applyAlignment="1" applyProtection="1">
      <alignment horizontal="center"/>
      <protection hidden="1"/>
    </xf>
    <xf numFmtId="0" fontId="4" fillId="0" borderId="51" xfId="0" applyFont="1" applyBorder="1" applyAlignment="1" applyProtection="1">
      <alignment horizontal="center"/>
      <protection hidden="1"/>
    </xf>
    <xf numFmtId="164" fontId="4" fillId="0" borderId="39" xfId="0" applyNumberFormat="1" applyFont="1" applyBorder="1" applyAlignment="1" applyProtection="1">
      <alignment horizontal="center"/>
      <protection hidden="1"/>
    </xf>
    <xf numFmtId="164" fontId="4" fillId="0" borderId="1" xfId="0" applyNumberFormat="1"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46" xfId="0" applyFont="1" applyBorder="1" applyAlignment="1" applyProtection="1">
      <alignment horizontal="center"/>
      <protection hidden="1"/>
    </xf>
    <xf numFmtId="0" fontId="4" fillId="0" borderId="4" xfId="0" applyFont="1" applyBorder="1" applyAlignment="1" applyProtection="1">
      <alignment horizontal="center"/>
      <protection hidden="1"/>
    </xf>
    <xf numFmtId="164" fontId="4" fillId="0" borderId="5" xfId="0" applyNumberFormat="1" applyFont="1" applyBorder="1" applyAlignment="1" applyProtection="1">
      <alignment horizontal="center"/>
      <protection hidden="1"/>
    </xf>
    <xf numFmtId="0" fontId="4" fillId="3" borderId="38" xfId="0" applyFont="1" applyFill="1" applyBorder="1" applyAlignment="1" applyProtection="1">
      <alignment horizontal="center"/>
      <protection hidden="1"/>
    </xf>
    <xf numFmtId="0" fontId="4" fillId="15" borderId="4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0" fontId="4" fillId="3" borderId="24" xfId="0" applyFont="1" applyFill="1" applyBorder="1" applyAlignment="1" applyProtection="1">
      <alignment horizontal="center"/>
      <protection hidden="1"/>
    </xf>
    <xf numFmtId="0" fontId="4" fillId="15" borderId="53" xfId="0" applyFont="1" applyFill="1" applyBorder="1" applyAlignment="1" applyProtection="1">
      <alignment horizontal="center"/>
      <protection hidden="1"/>
    </xf>
    <xf numFmtId="0" fontId="4" fillId="3" borderId="19" xfId="0" applyFont="1" applyFill="1" applyBorder="1" applyAlignment="1" applyProtection="1">
      <alignment horizontal="center"/>
      <protection hidden="1"/>
    </xf>
    <xf numFmtId="0" fontId="4" fillId="3" borderId="21" xfId="0" applyFont="1" applyFill="1" applyBorder="1" applyAlignment="1" applyProtection="1">
      <alignment horizontal="center"/>
      <protection hidden="1"/>
    </xf>
    <xf numFmtId="0" fontId="4" fillId="16" borderId="57" xfId="0" applyFont="1" applyFill="1" applyBorder="1" applyAlignment="1" applyProtection="1">
      <alignment horizontal="center"/>
      <protection hidden="1"/>
    </xf>
    <xf numFmtId="0" fontId="4" fillId="0" borderId="40" xfId="0" applyFont="1" applyBorder="1" applyAlignment="1" applyProtection="1">
      <alignment horizontal="center"/>
      <protection hidden="1"/>
    </xf>
    <xf numFmtId="0" fontId="4" fillId="16" borderId="39" xfId="0" applyFont="1" applyFill="1" applyBorder="1" applyAlignment="1" applyProtection="1">
      <alignment horizontal="center"/>
      <protection hidden="1"/>
    </xf>
    <xf numFmtId="0" fontId="4" fillId="13" borderId="4"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4" fillId="16" borderId="38" xfId="0" applyFont="1" applyFill="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4" fillId="0" borderId="47" xfId="0" applyFont="1" applyBorder="1" applyAlignment="1" applyProtection="1">
      <alignment horizontal="center"/>
      <protection hidden="1"/>
    </xf>
    <xf numFmtId="164" fontId="4" fillId="13" borderId="5" xfId="0" applyNumberFormat="1" applyFont="1" applyFill="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50" xfId="0" applyFont="1" applyBorder="1" applyAlignment="1" applyProtection="1">
      <alignment horizontal="center"/>
      <protection hidden="1"/>
    </xf>
    <xf numFmtId="0" fontId="4" fillId="13" borderId="5" xfId="0" applyFont="1" applyFill="1" applyBorder="1" applyAlignment="1" applyProtection="1">
      <alignment horizontal="center"/>
      <protection hidden="1"/>
    </xf>
    <xf numFmtId="164" fontId="4" fillId="2" borderId="21" xfId="0" applyNumberFormat="1" applyFont="1" applyFill="1" applyBorder="1" applyAlignment="1" applyProtection="1">
      <alignment horizontal="center"/>
      <protection hidden="1"/>
    </xf>
    <xf numFmtId="164" fontId="4" fillId="0" borderId="10" xfId="0" applyNumberFormat="1"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0" borderId="44" xfId="0" applyFont="1" applyBorder="1" applyAlignment="1" applyProtection="1">
      <alignment horizontal="center"/>
      <protection hidden="1"/>
    </xf>
    <xf numFmtId="0" fontId="4" fillId="0" borderId="7" xfId="0" applyFont="1" applyBorder="1" applyAlignment="1" applyProtection="1">
      <alignment horizontal="center"/>
      <protection hidden="1"/>
    </xf>
    <xf numFmtId="164" fontId="4" fillId="0" borderId="0" xfId="0" applyNumberFormat="1" applyFont="1" applyBorder="1" applyAlignment="1" applyProtection="1">
      <alignment horizontal="center"/>
      <protection hidden="1"/>
    </xf>
    <xf numFmtId="166" fontId="4" fillId="0" borderId="5" xfId="0" applyNumberFormat="1" applyFont="1" applyBorder="1" applyAlignment="1" applyProtection="1">
      <alignment horizontal="center"/>
      <protection hidden="1"/>
    </xf>
    <xf numFmtId="166" fontId="4" fillId="11" borderId="7" xfId="0" applyNumberFormat="1" applyFont="1" applyFill="1" applyBorder="1" applyAlignment="1" applyProtection="1">
      <alignment horizontal="center"/>
      <protection hidden="1"/>
    </xf>
    <xf numFmtId="0" fontId="4" fillId="8" borderId="21" xfId="0" applyFont="1" applyFill="1" applyBorder="1" applyAlignment="1" applyProtection="1">
      <alignment horizontal="center"/>
      <protection hidden="1"/>
    </xf>
    <xf numFmtId="166" fontId="4" fillId="0" borderId="37" xfId="0" applyNumberFormat="1" applyFont="1" applyBorder="1" applyAlignment="1" applyProtection="1">
      <alignment horizontal="center"/>
      <protection hidden="1"/>
    </xf>
    <xf numFmtId="0" fontId="4" fillId="0" borderId="5" xfId="0" applyFont="1" applyBorder="1" applyAlignment="1" applyProtection="1">
      <alignment horizontal="center"/>
      <protection hidden="1"/>
    </xf>
    <xf numFmtId="167" fontId="4" fillId="0" borderId="39" xfId="0" applyNumberFormat="1" applyFont="1" applyBorder="1" applyAlignment="1" applyProtection="1">
      <alignment horizontal="center"/>
      <protection hidden="1"/>
    </xf>
    <xf numFmtId="0" fontId="4" fillId="10" borderId="7" xfId="0" applyFont="1" applyFill="1" applyBorder="1" applyAlignment="1" applyProtection="1">
      <alignment horizontal="center"/>
      <protection hidden="1"/>
    </xf>
    <xf numFmtId="167" fontId="4" fillId="0" borderId="58" xfId="0" applyNumberFormat="1" applyFont="1" applyBorder="1" applyAlignment="1" applyProtection="1">
      <alignment horizontal="center"/>
      <protection hidden="1"/>
    </xf>
    <xf numFmtId="164" fontId="4" fillId="12" borderId="19" xfId="0" applyNumberFormat="1" applyFont="1" applyFill="1" applyBorder="1" applyAlignment="1" applyProtection="1">
      <alignment horizontal="center"/>
      <protection hidden="1"/>
    </xf>
    <xf numFmtId="165" fontId="4" fillId="12" borderId="21" xfId="0" applyNumberFormat="1"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3" fillId="0" borderId="0" xfId="0" applyFont="1" applyFill="1" applyBorder="1" applyAlignment="1" applyProtection="1">
      <alignment horizontal="center"/>
      <protection hidden="1"/>
    </xf>
    <xf numFmtId="0" fontId="4" fillId="10" borderId="21" xfId="0" applyFont="1" applyFill="1" applyBorder="1" applyAlignment="1" applyProtection="1">
      <alignment horizontal="center"/>
      <protection hidden="1"/>
    </xf>
    <xf numFmtId="0" fontId="4" fillId="0" borderId="52"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4" fillId="0" borderId="6" xfId="0" applyFont="1" applyBorder="1" applyAlignment="1" applyProtection="1">
      <alignment horizontal="center"/>
      <protection hidden="1"/>
    </xf>
    <xf numFmtId="0" fontId="4" fillId="2" borderId="56" xfId="0" applyFont="1" applyFill="1" applyBorder="1" applyAlignment="1" applyProtection="1">
      <alignment horizontal="center"/>
      <protection hidden="1"/>
    </xf>
    <xf numFmtId="164" fontId="3" fillId="0" borderId="0" xfId="0" applyNumberFormat="1" applyFont="1" applyBorder="1" applyAlignment="1" applyProtection="1">
      <alignment horizontal="center" vertical="center"/>
      <protection hidden="1"/>
    </xf>
    <xf numFmtId="0" fontId="5" fillId="13" borderId="4" xfId="0" applyFont="1" applyFill="1" applyBorder="1" applyAlignment="1" applyProtection="1">
      <alignment horizontal="right" vertical="center" shrinkToFit="1"/>
      <protection hidden="1"/>
    </xf>
    <xf numFmtId="0" fontId="3" fillId="0" borderId="1" xfId="0" applyFont="1" applyBorder="1" applyAlignment="1" applyProtection="1">
      <alignment horizontal="center" vertical="center" shrinkToFit="1"/>
      <protection hidden="1"/>
    </xf>
    <xf numFmtId="164" fontId="4" fillId="0" borderId="18" xfId="0" applyNumberFormat="1" applyFont="1" applyBorder="1" applyAlignment="1" applyProtection="1">
      <alignment horizontal="center"/>
      <protection hidden="1"/>
    </xf>
    <xf numFmtId="164" fontId="4" fillId="0" borderId="38" xfId="0" applyNumberFormat="1" applyFont="1" applyBorder="1" applyAlignment="1" applyProtection="1">
      <alignment horizontal="center"/>
      <protection hidden="1"/>
    </xf>
    <xf numFmtId="0" fontId="0" fillId="0" borderId="0" xfId="0" applyProtection="1">
      <protection hidden="1"/>
    </xf>
    <xf numFmtId="0" fontId="6" fillId="5" borderId="23" xfId="0" applyFont="1" applyFill="1" applyBorder="1" applyAlignment="1" applyProtection="1">
      <alignment horizontal="center" vertical="center"/>
      <protection hidden="1"/>
    </xf>
    <xf numFmtId="0" fontId="5" fillId="0" borderId="31" xfId="0" applyFont="1" applyBorder="1" applyAlignment="1" applyProtection="1">
      <alignment horizontal="right" vertical="center" shrinkToFit="1"/>
      <protection hidden="1"/>
    </xf>
    <xf numFmtId="165" fontId="5" fillId="0" borderId="25" xfId="0" applyNumberFormat="1" applyFont="1" applyBorder="1" applyAlignment="1" applyProtection="1">
      <alignment horizontal="center" vertical="center"/>
      <protection hidden="1"/>
    </xf>
    <xf numFmtId="0" fontId="5" fillId="0" borderId="32" xfId="0" applyFont="1" applyBorder="1" applyAlignment="1" applyProtection="1">
      <alignment horizontal="right" vertical="center" shrinkToFit="1"/>
      <protection hidden="1"/>
    </xf>
    <xf numFmtId="165" fontId="5" fillId="0" borderId="0" xfId="0" applyNumberFormat="1" applyFont="1" applyBorder="1" applyAlignment="1" applyProtection="1">
      <alignment horizontal="center" vertical="center"/>
      <protection hidden="1"/>
    </xf>
    <xf numFmtId="3"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3" borderId="23" xfId="0" applyFont="1" applyFill="1" applyBorder="1" applyAlignment="1" applyProtection="1">
      <alignment horizontal="center" vertical="center" shrinkToFit="1"/>
      <protection hidden="1"/>
    </xf>
    <xf numFmtId="165" fontId="5" fillId="3" borderId="23" xfId="0" applyNumberFormat="1" applyFont="1" applyFill="1" applyBorder="1" applyAlignment="1" applyProtection="1">
      <alignment horizontal="center" vertical="center"/>
      <protection hidden="1"/>
    </xf>
    <xf numFmtId="0" fontId="4" fillId="0" borderId="1"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1" xfId="0" applyFont="1" applyBorder="1" applyAlignment="1">
      <alignment horizontal="center"/>
    </xf>
    <xf numFmtId="0" fontId="4" fillId="0" borderId="2" xfId="0" applyFont="1" applyBorder="1" applyAlignment="1">
      <alignment horizontal="center"/>
    </xf>
    <xf numFmtId="0" fontId="4" fillId="0" borderId="43"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pplyProtection="1">
      <alignment horizontal="center" shrinkToFit="1"/>
      <protection hidden="1"/>
    </xf>
    <xf numFmtId="0" fontId="14" fillId="13" borderId="4" xfId="0" applyFont="1" applyFill="1" applyBorder="1" applyAlignment="1" applyProtection="1">
      <alignment horizontal="center" shrinkToFit="1"/>
      <protection hidden="1"/>
    </xf>
    <xf numFmtId="0" fontId="14" fillId="13" borderId="4" xfId="0" applyFont="1" applyFill="1" applyBorder="1" applyAlignment="1" applyProtection="1">
      <alignment horizontal="center" vertical="center" shrinkToFit="1"/>
      <protection hidden="1"/>
    </xf>
    <xf numFmtId="0" fontId="14" fillId="13" borderId="6" xfId="0" applyFont="1" applyFill="1" applyBorder="1" applyAlignment="1" applyProtection="1">
      <alignment horizontal="center" vertical="center" shrinkToFit="1"/>
      <protection hidden="1"/>
    </xf>
    <xf numFmtId="0" fontId="4" fillId="2" borderId="1" xfId="0" applyFont="1" applyFill="1" applyBorder="1" applyAlignment="1" applyProtection="1">
      <alignment horizontal="center" shrinkToFit="1"/>
      <protection hidden="1"/>
    </xf>
    <xf numFmtId="165" fontId="4" fillId="0" borderId="0" xfId="0" applyNumberFormat="1" applyFont="1" applyFill="1" applyBorder="1" applyAlignment="1" applyProtection="1">
      <alignment horizontal="center"/>
      <protection hidden="1"/>
    </xf>
    <xf numFmtId="3" fontId="15" fillId="0" borderId="0" xfId="0" applyNumberFormat="1" applyFont="1" applyFill="1" applyBorder="1" applyAlignment="1" applyProtection="1">
      <alignment horizontal="right" vertical="center"/>
      <protection hidden="1"/>
    </xf>
    <xf numFmtId="3" fontId="5" fillId="21" borderId="1" xfId="0" applyNumberFormat="1" applyFont="1" applyFill="1" applyBorder="1" applyAlignment="1" applyProtection="1">
      <alignment horizontal="center" vertical="center"/>
      <protection hidden="1"/>
    </xf>
    <xf numFmtId="0" fontId="5" fillId="21" borderId="1" xfId="0" applyNumberFormat="1" applyFont="1" applyFill="1" applyBorder="1" applyAlignment="1" applyProtection="1">
      <alignment horizontal="center" vertical="center"/>
      <protection hidden="1"/>
    </xf>
    <xf numFmtId="3" fontId="5" fillId="21" borderId="5" xfId="0" applyNumberFormat="1" applyFont="1" applyFill="1" applyBorder="1" applyAlignment="1" applyProtection="1">
      <alignment horizontal="center" vertical="center"/>
      <protection hidden="1"/>
    </xf>
    <xf numFmtId="0" fontId="4" fillId="3" borderId="57" xfId="0" applyFont="1" applyFill="1" applyBorder="1" applyAlignment="1" applyProtection="1">
      <alignment horizontal="center"/>
      <protection hidden="1"/>
    </xf>
    <xf numFmtId="0" fontId="4" fillId="3" borderId="59" xfId="0" applyFont="1" applyFill="1" applyBorder="1" applyAlignment="1" applyProtection="1">
      <alignment horizontal="center"/>
      <protection hidden="1"/>
    </xf>
    <xf numFmtId="0" fontId="4" fillId="0" borderId="37" xfId="0" applyFont="1" applyBorder="1" applyAlignment="1" applyProtection="1">
      <alignment horizontal="center"/>
      <protection hidden="1"/>
    </xf>
    <xf numFmtId="0" fontId="4" fillId="0" borderId="38" xfId="0" applyFont="1" applyBorder="1" applyAlignment="1" applyProtection="1">
      <alignment horizontal="center"/>
      <protection hidden="1"/>
    </xf>
    <xf numFmtId="9" fontId="4" fillId="22" borderId="43" xfId="0" applyNumberFormat="1" applyFont="1" applyFill="1" applyBorder="1" applyAlignment="1">
      <alignment horizontal="center"/>
    </xf>
    <xf numFmtId="165" fontId="4" fillId="22" borderId="43" xfId="0" applyNumberFormat="1" applyFont="1" applyFill="1" applyBorder="1" applyAlignment="1">
      <alignment horizontal="center"/>
    </xf>
    <xf numFmtId="165" fontId="4" fillId="22" borderId="3" xfId="0" applyNumberFormat="1" applyFont="1" applyFill="1" applyBorder="1" applyAlignment="1">
      <alignment horizontal="center"/>
    </xf>
    <xf numFmtId="9" fontId="4" fillId="22" borderId="1" xfId="0" applyNumberFormat="1" applyFont="1" applyFill="1" applyBorder="1" applyAlignment="1">
      <alignment horizontal="center"/>
    </xf>
    <xf numFmtId="165" fontId="4" fillId="22" borderId="1" xfId="0" applyNumberFormat="1" applyFont="1" applyFill="1" applyBorder="1" applyAlignment="1">
      <alignment horizontal="center"/>
    </xf>
    <xf numFmtId="165" fontId="4" fillId="22" borderId="5" xfId="0" applyNumberFormat="1" applyFont="1" applyFill="1" applyBorder="1" applyAlignment="1">
      <alignment horizontal="center"/>
    </xf>
    <xf numFmtId="0" fontId="4" fillId="22" borderId="44" xfId="0" applyFont="1" applyFill="1" applyBorder="1" applyAlignment="1">
      <alignment horizontal="center"/>
    </xf>
    <xf numFmtId="0" fontId="4" fillId="23" borderId="44" xfId="0" applyFont="1" applyFill="1" applyBorder="1" applyAlignment="1">
      <alignment horizontal="center"/>
    </xf>
    <xf numFmtId="165" fontId="4" fillId="23" borderId="7" xfId="0" applyNumberFormat="1" applyFont="1" applyFill="1" applyBorder="1" applyAlignment="1">
      <alignment horizontal="center"/>
    </xf>
    <xf numFmtId="3" fontId="4" fillId="0" borderId="0" xfId="0" applyNumberFormat="1" applyFont="1" applyBorder="1" applyAlignment="1" applyProtection="1">
      <alignment horizontal="center"/>
      <protection hidden="1"/>
    </xf>
    <xf numFmtId="3" fontId="5" fillId="17" borderId="1" xfId="0" applyNumberFormat="1" applyFont="1" applyFill="1" applyBorder="1" applyAlignment="1" applyProtection="1">
      <alignment horizontal="center" vertical="center"/>
      <protection hidden="1"/>
    </xf>
    <xf numFmtId="0" fontId="5" fillId="17" borderId="1" xfId="0" applyNumberFormat="1" applyFont="1" applyFill="1" applyBorder="1" applyAlignment="1" applyProtection="1">
      <alignment horizontal="center" vertical="center"/>
      <protection hidden="1"/>
    </xf>
    <xf numFmtId="3" fontId="5" fillId="17" borderId="5" xfId="0" applyNumberFormat="1" applyFont="1" applyFill="1" applyBorder="1" applyAlignment="1" applyProtection="1">
      <alignment horizontal="center" vertical="center"/>
      <protection hidden="1"/>
    </xf>
    <xf numFmtId="0" fontId="4" fillId="17" borderId="19" xfId="0" applyFont="1" applyFill="1" applyBorder="1" applyAlignment="1" applyProtection="1">
      <alignment horizontal="center"/>
      <protection hidden="1"/>
    </xf>
    <xf numFmtId="3" fontId="4" fillId="17" borderId="21" xfId="0" applyNumberFormat="1" applyFont="1" applyFill="1" applyBorder="1" applyAlignment="1" applyProtection="1">
      <alignment horizontal="center"/>
      <protection hidden="1"/>
    </xf>
    <xf numFmtId="0" fontId="4" fillId="5" borderId="50" xfId="0" applyFont="1" applyFill="1" applyBorder="1" applyAlignment="1" applyProtection="1">
      <alignment horizontal="center"/>
      <protection hidden="1"/>
    </xf>
    <xf numFmtId="165" fontId="4" fillId="0" borderId="1" xfId="0" applyNumberFormat="1" applyFont="1" applyBorder="1" applyAlignment="1" applyProtection="1">
      <alignment horizontal="center"/>
      <protection hidden="1"/>
    </xf>
    <xf numFmtId="164" fontId="4" fillId="0" borderId="0" xfId="0" applyNumberFormat="1" applyFont="1" applyBorder="1" applyAlignment="1">
      <alignment horizontal="center"/>
    </xf>
    <xf numFmtId="0" fontId="4" fillId="0" borderId="0" xfId="0" applyFont="1" applyBorder="1" applyAlignment="1">
      <alignment horizontal="center"/>
    </xf>
    <xf numFmtId="165" fontId="4" fillId="11" borderId="3" xfId="0" applyNumberFormat="1" applyFont="1" applyFill="1" applyBorder="1" applyAlignment="1" applyProtection="1">
      <alignment horizontal="center"/>
      <protection hidden="1"/>
    </xf>
    <xf numFmtId="165" fontId="4" fillId="11" borderId="14" xfId="0" applyNumberFormat="1" applyFont="1" applyFill="1" applyBorder="1" applyAlignment="1" applyProtection="1">
      <alignment horizontal="center"/>
      <protection hidden="1"/>
    </xf>
    <xf numFmtId="165" fontId="4" fillId="11" borderId="50" xfId="0" applyNumberFormat="1" applyFont="1" applyFill="1" applyBorder="1" applyAlignment="1" applyProtection="1">
      <alignment horizontal="center"/>
      <protection hidden="1"/>
    </xf>
    <xf numFmtId="165" fontId="4" fillId="25" borderId="21" xfId="0" applyNumberFormat="1" applyFont="1" applyFill="1" applyBorder="1" applyAlignment="1" applyProtection="1">
      <alignment horizontal="center"/>
      <protection hidden="1"/>
    </xf>
    <xf numFmtId="0" fontId="4" fillId="0" borderId="0" xfId="0" quotePrefix="1" applyFont="1" applyAlignment="1" applyProtection="1">
      <alignment horizontal="center"/>
      <protection hidden="1"/>
    </xf>
    <xf numFmtId="0" fontId="4" fillId="9" borderId="21" xfId="0" applyFont="1" applyFill="1" applyBorder="1" applyAlignment="1" applyProtection="1">
      <alignment horizontal="center"/>
      <protection hidden="1"/>
    </xf>
    <xf numFmtId="165" fontId="4" fillId="2" borderId="2" xfId="0" applyNumberFormat="1" applyFont="1" applyFill="1" applyBorder="1" applyAlignment="1" applyProtection="1">
      <alignment horizontal="center"/>
      <protection hidden="1"/>
    </xf>
    <xf numFmtId="165" fontId="4" fillId="2" borderId="43" xfId="0" applyNumberFormat="1"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165" fontId="4" fillId="2" borderId="4" xfId="0" applyNumberFormat="1" applyFont="1" applyFill="1" applyBorder="1" applyAlignment="1" applyProtection="1">
      <alignment horizontal="center"/>
      <protection hidden="1"/>
    </xf>
    <xf numFmtId="165" fontId="4" fillId="2" borderId="1" xfId="0" applyNumberFormat="1"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165" fontId="4" fillId="2" borderId="13" xfId="0" applyNumberFormat="1" applyFont="1" applyFill="1" applyBorder="1" applyAlignment="1" applyProtection="1">
      <alignment horizontal="center"/>
      <protection hidden="1"/>
    </xf>
    <xf numFmtId="165" fontId="4" fillId="2" borderId="22" xfId="0" applyNumberFormat="1" applyFont="1" applyFill="1" applyBorder="1" applyAlignment="1" applyProtection="1">
      <alignment horizontal="center"/>
      <protection hidden="1"/>
    </xf>
    <xf numFmtId="0" fontId="4" fillId="2" borderId="14" xfId="0" applyFont="1" applyFill="1" applyBorder="1" applyAlignment="1" applyProtection="1">
      <alignment horizontal="center"/>
      <protection hidden="1"/>
    </xf>
    <xf numFmtId="0" fontId="4" fillId="5" borderId="2" xfId="0" applyFont="1" applyFill="1" applyBorder="1" applyAlignment="1" applyProtection="1">
      <alignment horizontal="center"/>
      <protection hidden="1"/>
    </xf>
    <xf numFmtId="165" fontId="4" fillId="5" borderId="43" xfId="0" applyNumberFormat="1" applyFont="1" applyFill="1" applyBorder="1" applyAlignment="1" applyProtection="1">
      <alignment horizontal="center"/>
      <protection hidden="1"/>
    </xf>
    <xf numFmtId="0" fontId="4" fillId="5" borderId="3" xfId="0" applyFont="1" applyFill="1" applyBorder="1" applyAlignment="1" applyProtection="1">
      <alignment horizontal="center"/>
      <protection hidden="1"/>
    </xf>
    <xf numFmtId="0" fontId="4" fillId="5" borderId="4" xfId="0" applyFont="1" applyFill="1" applyBorder="1" applyAlignment="1" applyProtection="1">
      <alignment horizontal="center"/>
      <protection hidden="1"/>
    </xf>
    <xf numFmtId="165" fontId="4" fillId="5" borderId="1" xfId="0" applyNumberFormat="1" applyFont="1" applyFill="1" applyBorder="1" applyAlignment="1" applyProtection="1">
      <alignment horizontal="center"/>
      <protection hidden="1"/>
    </xf>
    <xf numFmtId="0" fontId="4" fillId="5" borderId="5" xfId="0" applyFont="1" applyFill="1" applyBorder="1" applyAlignment="1" applyProtection="1">
      <alignment horizontal="center"/>
      <protection hidden="1"/>
    </xf>
    <xf numFmtId="0" fontId="4" fillId="12" borderId="14" xfId="0" applyFont="1" applyFill="1" applyBorder="1" applyAlignment="1" applyProtection="1">
      <alignment horizontal="center"/>
      <protection hidden="1"/>
    </xf>
    <xf numFmtId="0" fontId="4" fillId="26" borderId="50" xfId="0" applyFont="1" applyFill="1" applyBorder="1" applyAlignment="1">
      <alignment horizontal="center"/>
    </xf>
    <xf numFmtId="0" fontId="4" fillId="24" borderId="21" xfId="0" applyFont="1" applyFill="1" applyBorder="1" applyAlignment="1">
      <alignment horizontal="center"/>
    </xf>
    <xf numFmtId="0" fontId="4" fillId="27" borderId="1" xfId="0" applyFont="1" applyFill="1" applyBorder="1" applyAlignment="1" applyProtection="1">
      <alignment horizontal="center"/>
      <protection hidden="1"/>
    </xf>
    <xf numFmtId="0" fontId="4" fillId="27" borderId="1" xfId="0" applyFont="1" applyFill="1" applyBorder="1" applyAlignment="1">
      <alignment horizontal="center"/>
    </xf>
    <xf numFmtId="0" fontId="4" fillId="27" borderId="4" xfId="0" applyFont="1" applyFill="1" applyBorder="1" applyAlignment="1" applyProtection="1">
      <alignment horizontal="center"/>
      <protection hidden="1"/>
    </xf>
    <xf numFmtId="0" fontId="4" fillId="27" borderId="5" xfId="0" applyFont="1" applyFill="1" applyBorder="1" applyAlignment="1" applyProtection="1">
      <alignment horizontal="center"/>
      <protection hidden="1"/>
    </xf>
    <xf numFmtId="0" fontId="4" fillId="27" borderId="4" xfId="0" applyFont="1" applyFill="1" applyBorder="1" applyAlignment="1">
      <alignment horizontal="center"/>
    </xf>
    <xf numFmtId="0" fontId="4" fillId="27" borderId="5" xfId="0" applyFont="1" applyFill="1" applyBorder="1" applyAlignment="1">
      <alignment horizontal="center"/>
    </xf>
    <xf numFmtId="0" fontId="4" fillId="22" borderId="9" xfId="0" applyFont="1" applyFill="1" applyBorder="1" applyAlignment="1" applyProtection="1">
      <alignment horizontal="center"/>
      <protection hidden="1"/>
    </xf>
    <xf numFmtId="0" fontId="4" fillId="22" borderId="11" xfId="0" applyFont="1" applyFill="1" applyBorder="1" applyAlignment="1" applyProtection="1">
      <alignment horizontal="center"/>
      <protection hidden="1"/>
    </xf>
    <xf numFmtId="0" fontId="4" fillId="22" borderId="12" xfId="0" applyFont="1" applyFill="1" applyBorder="1" applyAlignment="1">
      <alignment horizontal="center"/>
    </xf>
    <xf numFmtId="0" fontId="4" fillId="11" borderId="9" xfId="0" applyFont="1" applyFill="1" applyBorder="1" applyAlignment="1">
      <alignment horizontal="center"/>
    </xf>
    <xf numFmtId="0" fontId="4" fillId="11" borderId="60" xfId="0" applyFont="1" applyFill="1" applyBorder="1" applyAlignment="1">
      <alignment horizontal="center"/>
    </xf>
    <xf numFmtId="0" fontId="4" fillId="11" borderId="60" xfId="0" applyFont="1" applyFill="1" applyBorder="1" applyAlignment="1">
      <alignment horizontal="center" shrinkToFit="1"/>
    </xf>
    <xf numFmtId="0" fontId="4" fillId="2" borderId="19" xfId="0" applyFont="1" applyFill="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165" fontId="5" fillId="0" borderId="32" xfId="0" applyNumberFormat="1" applyFont="1" applyBorder="1" applyAlignment="1" applyProtection="1">
      <alignment horizontal="center"/>
      <protection hidden="1"/>
    </xf>
    <xf numFmtId="0" fontId="0" fillId="0" borderId="32" xfId="0" applyBorder="1"/>
    <xf numFmtId="165" fontId="5" fillId="0" borderId="33" xfId="0" applyNumberFormat="1" applyFont="1" applyBorder="1" applyAlignment="1" applyProtection="1">
      <alignment horizontal="center"/>
      <protection hidden="1"/>
    </xf>
    <xf numFmtId="0" fontId="5" fillId="13" borderId="0" xfId="0" applyFont="1" applyFill="1" applyBorder="1" applyAlignment="1" applyProtection="1">
      <alignment horizontal="right" shrinkToFit="1"/>
      <protection hidden="1"/>
    </xf>
    <xf numFmtId="3" fontId="15" fillId="21" borderId="4" xfId="0" applyNumberFormat="1" applyFont="1" applyFill="1" applyBorder="1" applyAlignment="1" applyProtection="1">
      <alignment horizontal="right" vertical="center"/>
      <protection hidden="1"/>
    </xf>
    <xf numFmtId="3" fontId="15" fillId="17" borderId="4" xfId="0" applyNumberFormat="1" applyFont="1" applyFill="1" applyBorder="1" applyAlignment="1" applyProtection="1">
      <alignment horizontal="right" vertical="center"/>
      <protection hidden="1"/>
    </xf>
    <xf numFmtId="3" fontId="15" fillId="21" borderId="6" xfId="0" applyNumberFormat="1" applyFont="1" applyFill="1" applyBorder="1" applyAlignment="1" applyProtection="1">
      <alignment horizontal="right" vertical="center"/>
      <protection hidden="1"/>
    </xf>
    <xf numFmtId="0" fontId="4" fillId="18" borderId="18" xfId="0" applyFont="1" applyFill="1" applyBorder="1" applyAlignment="1" applyProtection="1">
      <alignment horizontal="center"/>
      <protection hidden="1"/>
    </xf>
    <xf numFmtId="165" fontId="4" fillId="18" borderId="18" xfId="0" applyNumberFormat="1" applyFont="1" applyFill="1" applyBorder="1" applyAlignment="1" applyProtection="1">
      <alignment horizontal="center"/>
      <protection hidden="1"/>
    </xf>
    <xf numFmtId="165" fontId="20" fillId="2" borderId="21" xfId="0" applyNumberFormat="1" applyFont="1" applyFill="1" applyBorder="1" applyAlignment="1" applyProtection="1">
      <alignment horizontal="center"/>
      <protection hidden="1"/>
    </xf>
    <xf numFmtId="0" fontId="8" fillId="0" borderId="17" xfId="0" applyFont="1" applyBorder="1" applyAlignment="1" applyProtection="1">
      <alignment vertical="center"/>
      <protection hidden="1"/>
    </xf>
    <xf numFmtId="0" fontId="6" fillId="11" borderId="23" xfId="0" applyFont="1" applyFill="1" applyBorder="1" applyAlignment="1" applyProtection="1">
      <alignment horizontal="center" vertical="center"/>
      <protection hidden="1"/>
    </xf>
    <xf numFmtId="165" fontId="9" fillId="19" borderId="5" xfId="0" applyNumberFormat="1" applyFont="1" applyFill="1" applyBorder="1" applyAlignment="1" applyProtection="1">
      <alignment horizontal="center" vertical="center"/>
      <protection locked="0"/>
    </xf>
    <xf numFmtId="0" fontId="9" fillId="19" borderId="5" xfId="0" applyFont="1" applyFill="1" applyBorder="1" applyAlignment="1" applyProtection="1">
      <alignment horizontal="center" vertical="center"/>
      <protection locked="0"/>
    </xf>
    <xf numFmtId="0" fontId="9" fillId="19" borderId="3" xfId="0" applyFont="1" applyFill="1" applyBorder="1" applyAlignment="1" applyProtection="1">
      <alignment horizontal="center" vertical="center"/>
      <protection locked="0"/>
    </xf>
    <xf numFmtId="3" fontId="9" fillId="19" borderId="5" xfId="0" applyNumberFormat="1" applyFont="1" applyFill="1" applyBorder="1" applyAlignment="1" applyProtection="1">
      <alignment horizontal="center" vertical="center"/>
      <protection locked="0"/>
    </xf>
    <xf numFmtId="165" fontId="11" fillId="19" borderId="5" xfId="0" applyNumberFormat="1" applyFont="1" applyFill="1" applyBorder="1" applyAlignment="1" applyProtection="1">
      <alignment horizontal="center" shrinkToFit="1"/>
      <protection locked="0"/>
    </xf>
    <xf numFmtId="165" fontId="11" fillId="19" borderId="5" xfId="0" applyNumberFormat="1" applyFont="1" applyFill="1" applyBorder="1" applyAlignment="1" applyProtection="1">
      <alignment horizontal="center"/>
      <protection locked="0"/>
    </xf>
    <xf numFmtId="0" fontId="23" fillId="0" borderId="33" xfId="1" applyFont="1" applyBorder="1" applyAlignment="1" applyProtection="1">
      <alignment horizontal="center" vertical="center" shrinkToFit="1"/>
      <protection hidden="1"/>
    </xf>
    <xf numFmtId="165" fontId="4" fillId="0" borderId="1" xfId="0" applyNumberFormat="1" applyFont="1" applyBorder="1" applyAlignment="1">
      <alignment horizontal="center"/>
    </xf>
    <xf numFmtId="3" fontId="15" fillId="21" borderId="2" xfId="0" applyNumberFormat="1" applyFont="1" applyFill="1" applyBorder="1" applyAlignment="1" applyProtection="1">
      <alignment horizontal="right" vertical="center"/>
      <protection hidden="1"/>
    </xf>
    <xf numFmtId="165" fontId="4" fillId="0" borderId="43" xfId="0" applyNumberFormat="1" applyFont="1" applyBorder="1" applyAlignment="1">
      <alignment horizontal="center"/>
    </xf>
    <xf numFmtId="165" fontId="4" fillId="0" borderId="44" xfId="0" applyNumberFormat="1" applyFont="1" applyBorder="1" applyAlignment="1">
      <alignment horizontal="center"/>
    </xf>
    <xf numFmtId="0" fontId="4" fillId="0" borderId="44" xfId="0" applyFont="1" applyBorder="1" applyAlignment="1">
      <alignment horizontal="center"/>
    </xf>
    <xf numFmtId="0" fontId="4" fillId="0" borderId="7" xfId="0" applyFont="1" applyBorder="1" applyAlignment="1">
      <alignment horizontal="center"/>
    </xf>
    <xf numFmtId="0" fontId="4" fillId="0" borderId="4" xfId="0" applyFont="1" applyBorder="1" applyAlignment="1" applyProtection="1">
      <alignment horizontal="center"/>
      <protection hidden="1"/>
    </xf>
    <xf numFmtId="0" fontId="4" fillId="13" borderId="2" xfId="0" applyFont="1" applyFill="1" applyBorder="1" applyAlignment="1" applyProtection="1">
      <alignment horizontal="center"/>
      <protection hidden="1"/>
    </xf>
    <xf numFmtId="164" fontId="4" fillId="13" borderId="3" xfId="0" applyNumberFormat="1" applyFont="1" applyFill="1" applyBorder="1" applyAlignment="1" applyProtection="1">
      <alignment horizontal="center"/>
      <protection hidden="1"/>
    </xf>
    <xf numFmtId="165" fontId="4" fillId="0" borderId="5" xfId="0" applyNumberFormat="1" applyFont="1" applyBorder="1" applyAlignment="1" applyProtection="1">
      <alignment horizontal="center"/>
      <protection hidden="1"/>
    </xf>
    <xf numFmtId="0" fontId="4" fillId="0" borderId="6" xfId="0" applyFont="1" applyBorder="1" applyAlignment="1">
      <alignment horizontal="center"/>
    </xf>
    <xf numFmtId="0" fontId="4" fillId="0" borderId="1" xfId="0" applyFont="1" applyBorder="1" applyAlignment="1" applyProtection="1">
      <alignment horizontal="center"/>
      <protection hidden="1"/>
    </xf>
    <xf numFmtId="165" fontId="4" fillId="0" borderId="10" xfId="0" applyNumberFormat="1" applyFont="1" applyBorder="1" applyAlignment="1" applyProtection="1">
      <alignment horizontal="center"/>
      <protection hidden="1"/>
    </xf>
    <xf numFmtId="166" fontId="5" fillId="0" borderId="18" xfId="0" applyNumberFormat="1" applyFont="1" applyFill="1" applyBorder="1" applyAlignment="1" applyProtection="1">
      <alignment horizontal="center" vertical="center"/>
      <protection hidden="1"/>
    </xf>
    <xf numFmtId="166" fontId="5" fillId="0" borderId="1" xfId="0" applyNumberFormat="1" applyFont="1" applyFill="1" applyBorder="1" applyAlignment="1" applyProtection="1">
      <alignment horizontal="center" vertical="center"/>
      <protection hidden="1"/>
    </xf>
    <xf numFmtId="166" fontId="5" fillId="0" borderId="1" xfId="0" applyNumberFormat="1" applyFont="1" applyBorder="1" applyAlignment="1" applyProtection="1">
      <alignment horizontal="center" vertical="center"/>
      <protection hidden="1"/>
    </xf>
    <xf numFmtId="166" fontId="5" fillId="0" borderId="22" xfId="0" applyNumberFormat="1" applyFont="1" applyBorder="1" applyAlignment="1" applyProtection="1">
      <alignment horizontal="center" vertical="center"/>
      <protection hidden="1"/>
    </xf>
    <xf numFmtId="166" fontId="5" fillId="11" borderId="20" xfId="0" applyNumberFormat="1" applyFont="1" applyFill="1" applyBorder="1" applyAlignment="1" applyProtection="1">
      <alignment horizontal="center" vertical="center"/>
      <protection hidden="1"/>
    </xf>
    <xf numFmtId="164" fontId="4" fillId="0" borderId="22" xfId="0" applyNumberFormat="1" applyFont="1" applyBorder="1" applyAlignment="1" applyProtection="1">
      <alignment horizontal="center"/>
      <protection hidden="1"/>
    </xf>
    <xf numFmtId="164" fontId="4" fillId="0" borderId="4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3" fontId="15" fillId="30" borderId="4" xfId="0" applyNumberFormat="1" applyFont="1" applyFill="1" applyBorder="1" applyAlignment="1" applyProtection="1">
      <alignment vertical="center"/>
      <protection hidden="1"/>
    </xf>
    <xf numFmtId="164" fontId="4" fillId="0" borderId="1" xfId="0" applyNumberFormat="1" applyFont="1" applyBorder="1" applyAlignment="1">
      <alignment horizontal="center"/>
    </xf>
    <xf numFmtId="3" fontId="15" fillId="30" borderId="2" xfId="0" applyNumberFormat="1" applyFont="1" applyFill="1" applyBorder="1" applyAlignment="1" applyProtection="1">
      <alignment vertical="center"/>
      <protection hidden="1"/>
    </xf>
    <xf numFmtId="164" fontId="4" fillId="0" borderId="43" xfId="0" applyNumberFormat="1" applyFont="1" applyBorder="1" applyAlignment="1">
      <alignment horizontal="center"/>
    </xf>
    <xf numFmtId="0" fontId="4" fillId="31" borderId="6" xfId="0" applyFont="1" applyFill="1" applyBorder="1" applyAlignment="1">
      <alignment horizontal="center"/>
    </xf>
    <xf numFmtId="0" fontId="0" fillId="0" borderId="0" xfId="0" applyBorder="1" applyProtection="1">
      <protection locked="0"/>
    </xf>
    <xf numFmtId="0" fontId="4" fillId="23" borderId="6" xfId="0" applyFont="1" applyFill="1" applyBorder="1" applyAlignment="1">
      <alignment horizontal="center"/>
    </xf>
    <xf numFmtId="165" fontId="4" fillId="0" borderId="3" xfId="0" applyNumberFormat="1" applyFont="1" applyBorder="1" applyAlignment="1">
      <alignment horizontal="center"/>
    </xf>
    <xf numFmtId="165" fontId="4" fillId="0" borderId="5" xfId="0" applyNumberFormat="1" applyFont="1" applyBorder="1" applyAlignment="1">
      <alignment horizontal="center"/>
    </xf>
    <xf numFmtId="165" fontId="9" fillId="20" borderId="10" xfId="0" applyNumberFormat="1" applyFont="1" applyFill="1" applyBorder="1" applyAlignment="1" applyProtection="1">
      <alignment horizontal="center" vertical="center"/>
      <protection hidden="1"/>
    </xf>
    <xf numFmtId="165" fontId="9" fillId="20" borderId="8" xfId="0" applyNumberFormat="1" applyFont="1" applyFill="1" applyBorder="1" applyAlignment="1" applyProtection="1">
      <alignment horizontal="center" vertical="center"/>
      <protection hidden="1"/>
    </xf>
    <xf numFmtId="0" fontId="5" fillId="13" borderId="60" xfId="0" applyFont="1" applyFill="1" applyBorder="1" applyAlignment="1" applyProtection="1">
      <alignment horizontal="right" shrinkToFit="1"/>
      <protection hidden="1"/>
    </xf>
    <xf numFmtId="165" fontId="9" fillId="19" borderId="14" xfId="0" applyNumberFormat="1"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protection hidden="1"/>
    </xf>
    <xf numFmtId="0" fontId="4" fillId="2" borderId="7" xfId="0" applyFont="1" applyFill="1" applyBorder="1" applyAlignment="1" applyProtection="1">
      <alignment horizontal="center"/>
      <protection hidden="1"/>
    </xf>
    <xf numFmtId="0" fontId="4" fillId="7" borderId="3" xfId="0" applyFont="1" applyFill="1" applyBorder="1" applyAlignment="1" applyProtection="1">
      <alignment horizontal="center"/>
      <protection hidden="1"/>
    </xf>
    <xf numFmtId="0" fontId="4" fillId="8" borderId="7" xfId="0" applyFont="1" applyFill="1" applyBorder="1" applyAlignment="1" applyProtection="1">
      <alignment horizontal="center"/>
      <protection hidden="1"/>
    </xf>
    <xf numFmtId="0" fontId="4" fillId="0" borderId="37" xfId="0" applyFont="1" applyBorder="1" applyAlignment="1">
      <alignment horizontal="center" shrinkToFit="1"/>
    </xf>
    <xf numFmtId="0" fontId="4" fillId="0" borderId="39" xfId="0" applyFont="1" applyBorder="1" applyAlignment="1">
      <alignment horizontal="center" shrinkToFit="1"/>
    </xf>
    <xf numFmtId="0" fontId="4" fillId="0" borderId="38" xfId="0" applyFont="1" applyBorder="1" applyAlignment="1">
      <alignment horizontal="center" shrinkToFit="1"/>
    </xf>
    <xf numFmtId="0" fontId="4" fillId="0" borderId="1"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6" xfId="0" applyFont="1" applyBorder="1" applyAlignment="1" applyProtection="1">
      <alignment horizontal="center"/>
      <protection hidden="1"/>
    </xf>
    <xf numFmtId="164" fontId="4" fillId="0" borderId="51" xfId="0" applyNumberFormat="1" applyFont="1" applyBorder="1" applyAlignment="1" applyProtection="1">
      <alignment horizontal="center"/>
      <protection hidden="1"/>
    </xf>
    <xf numFmtId="165" fontId="3" fillId="0" borderId="0" xfId="0" applyNumberFormat="1" applyFont="1" applyBorder="1" applyAlignment="1" applyProtection="1">
      <alignment vertical="center"/>
      <protection hidden="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165" fontId="3" fillId="0" borderId="34" xfId="0" applyNumberFormat="1" applyFont="1" applyBorder="1" applyAlignment="1" applyProtection="1">
      <alignment vertical="center"/>
      <protection hidden="1"/>
    </xf>
    <xf numFmtId="0" fontId="4" fillId="32" borderId="2" xfId="0" applyFont="1" applyFill="1" applyBorder="1" applyAlignment="1" applyProtection="1">
      <alignment horizontal="center"/>
      <protection hidden="1"/>
    </xf>
    <xf numFmtId="165" fontId="4" fillId="2" borderId="3" xfId="0" applyNumberFormat="1" applyFont="1" applyFill="1" applyBorder="1" applyAlignment="1" applyProtection="1">
      <alignment horizontal="center"/>
      <protection locked="0" hidden="1"/>
    </xf>
    <xf numFmtId="0" fontId="4" fillId="32" borderId="4" xfId="0" applyFont="1" applyFill="1" applyBorder="1" applyAlignment="1" applyProtection="1">
      <alignment horizontal="center"/>
      <protection hidden="1"/>
    </xf>
    <xf numFmtId="165" fontId="4" fillId="2" borderId="5" xfId="0" applyNumberFormat="1" applyFont="1" applyFill="1" applyBorder="1" applyAlignment="1" applyProtection="1">
      <alignment horizontal="center"/>
      <protection locked="0" hidden="1"/>
    </xf>
    <xf numFmtId="165" fontId="4" fillId="2" borderId="7" xfId="0" applyNumberFormat="1" applyFont="1" applyFill="1" applyBorder="1" applyAlignment="1" applyProtection="1">
      <alignment horizontal="center"/>
      <protection locked="0" hidden="1"/>
    </xf>
    <xf numFmtId="0" fontId="4" fillId="30" borderId="19" xfId="0" applyFont="1" applyFill="1" applyBorder="1" applyAlignment="1" applyProtection="1">
      <alignment horizontal="center"/>
      <protection hidden="1"/>
    </xf>
    <xf numFmtId="165" fontId="4" fillId="2" borderId="21" xfId="0" applyNumberFormat="1" applyFont="1" applyFill="1" applyBorder="1" applyAlignment="1" applyProtection="1">
      <alignment horizontal="center"/>
      <protection locked="0" hidden="1"/>
    </xf>
    <xf numFmtId="0" fontId="4" fillId="30" borderId="29" xfId="0" applyFont="1" applyFill="1" applyBorder="1" applyAlignment="1" applyProtection="1">
      <alignment horizontal="center"/>
      <protection hidden="1"/>
    </xf>
    <xf numFmtId="165" fontId="4" fillId="2" borderId="56" xfId="0" applyNumberFormat="1" applyFont="1" applyFill="1" applyBorder="1" applyAlignment="1" applyProtection="1">
      <alignment horizontal="center"/>
      <protection locked="0" hidden="1"/>
    </xf>
    <xf numFmtId="0" fontId="4" fillId="33" borderId="19" xfId="0" applyFont="1" applyFill="1" applyBorder="1" applyAlignment="1" applyProtection="1">
      <alignment horizontal="center"/>
      <protection hidden="1"/>
    </xf>
    <xf numFmtId="167" fontId="4" fillId="34" borderId="21" xfId="0" applyNumberFormat="1" applyFont="1" applyFill="1" applyBorder="1" applyAlignment="1" applyProtection="1">
      <alignment horizontal="center"/>
      <protection hidden="1"/>
    </xf>
    <xf numFmtId="0" fontId="4" fillId="33" borderId="6" xfId="0" applyFont="1" applyFill="1" applyBorder="1" applyAlignment="1" applyProtection="1">
      <alignment horizontal="center"/>
      <protection hidden="1"/>
    </xf>
    <xf numFmtId="167" fontId="4" fillId="34" borderId="7" xfId="0" applyNumberFormat="1" applyFont="1" applyFill="1" applyBorder="1" applyAlignment="1" applyProtection="1">
      <alignment horizontal="center"/>
      <protection hidden="1"/>
    </xf>
    <xf numFmtId="0" fontId="4" fillId="35" borderId="2" xfId="0" applyFont="1" applyFill="1" applyBorder="1" applyAlignment="1" applyProtection="1">
      <alignment horizontal="center"/>
      <protection hidden="1"/>
    </xf>
    <xf numFmtId="0" fontId="4" fillId="35" borderId="4" xfId="0" applyFont="1" applyFill="1" applyBorder="1" applyAlignment="1" applyProtection="1">
      <alignment horizontal="center"/>
      <protection hidden="1"/>
    </xf>
    <xf numFmtId="0" fontId="4" fillId="35" borderId="6" xfId="0" applyFont="1" applyFill="1" applyBorder="1" applyAlignment="1" applyProtection="1">
      <alignment horizontal="center"/>
      <protection hidden="1"/>
    </xf>
    <xf numFmtId="0" fontId="4" fillId="36" borderId="62" xfId="0" applyFont="1" applyFill="1" applyBorder="1" applyAlignment="1" applyProtection="1">
      <alignment horizontal="center"/>
      <protection hidden="1"/>
    </xf>
    <xf numFmtId="165" fontId="4" fillId="2" borderId="63" xfId="0" applyNumberFormat="1" applyFont="1" applyFill="1" applyBorder="1" applyAlignment="1" applyProtection="1">
      <alignment horizontal="center"/>
      <protection locked="0" hidden="1"/>
    </xf>
    <xf numFmtId="0" fontId="4" fillId="18" borderId="19" xfId="0" applyFont="1" applyFill="1" applyBorder="1" applyAlignment="1" applyProtection="1">
      <alignment horizontal="center"/>
      <protection hidden="1"/>
    </xf>
    <xf numFmtId="0" fontId="4" fillId="0" borderId="16" xfId="0" applyFont="1" applyBorder="1" applyAlignment="1" applyProtection="1">
      <alignment horizontal="center"/>
      <protection hidden="1"/>
    </xf>
    <xf numFmtId="0" fontId="4" fillId="0" borderId="14" xfId="0" applyFont="1" applyBorder="1" applyAlignment="1" applyProtection="1">
      <alignment horizontal="center"/>
      <protection hidden="1"/>
    </xf>
    <xf numFmtId="164" fontId="4" fillId="0" borderId="11" xfId="0" applyNumberFormat="1" applyFont="1" applyBorder="1" applyAlignment="1" applyProtection="1">
      <alignment horizontal="center"/>
      <protection hidden="1"/>
    </xf>
    <xf numFmtId="164" fontId="4" fillId="0" borderId="60" xfId="0" applyNumberFormat="1" applyFont="1" applyBorder="1" applyAlignment="1" applyProtection="1">
      <alignment horizontal="center"/>
      <protection hidden="1"/>
    </xf>
    <xf numFmtId="0" fontId="5" fillId="4" borderId="57" xfId="0" applyFont="1" applyFill="1" applyBorder="1" applyAlignment="1" applyProtection="1">
      <alignment vertical="center" shrinkToFit="1"/>
      <protection hidden="1"/>
    </xf>
    <xf numFmtId="165" fontId="3" fillId="0" borderId="59" xfId="0" applyNumberFormat="1" applyFont="1" applyBorder="1" applyAlignment="1" applyProtection="1">
      <alignment vertical="center" shrinkToFit="1"/>
      <protection hidden="1"/>
    </xf>
    <xf numFmtId="165" fontId="3" fillId="0" borderId="59" xfId="0" applyNumberFormat="1" applyFont="1" applyBorder="1" applyAlignment="1" applyProtection="1">
      <alignment vertical="center"/>
      <protection hidden="1"/>
    </xf>
    <xf numFmtId="165" fontId="3" fillId="0" borderId="27" xfId="0" applyNumberFormat="1" applyFont="1" applyBorder="1" applyAlignment="1">
      <alignment horizontal="center" vertical="center"/>
    </xf>
    <xf numFmtId="165" fontId="3" fillId="0" borderId="64" xfId="0" applyNumberFormat="1" applyFont="1" applyBorder="1" applyAlignment="1" applyProtection="1">
      <alignment vertical="center"/>
      <protection hidden="1"/>
    </xf>
    <xf numFmtId="0" fontId="5" fillId="4" borderId="41" xfId="0" applyFont="1" applyFill="1" applyBorder="1" applyAlignment="1" applyProtection="1">
      <alignment horizontal="center" vertical="center" shrinkToFit="1"/>
      <protection hidden="1"/>
    </xf>
    <xf numFmtId="165" fontId="3" fillId="0" borderId="51" xfId="0" applyNumberFormat="1" applyFont="1" applyBorder="1" applyAlignment="1" applyProtection="1">
      <alignment horizontal="center" vertical="center" shrinkToFit="1"/>
      <protection hidden="1"/>
    </xf>
    <xf numFmtId="165" fontId="3" fillId="0" borderId="51" xfId="0" applyNumberFormat="1" applyFont="1" applyBorder="1" applyAlignment="1" applyProtection="1">
      <alignment horizontal="center" vertical="center"/>
      <protection hidden="1"/>
    </xf>
    <xf numFmtId="165" fontId="3" fillId="0" borderId="42" xfId="0" applyNumberFormat="1" applyFont="1" applyBorder="1" applyAlignment="1" applyProtection="1">
      <alignment horizontal="center" vertical="center"/>
      <protection hidden="1"/>
    </xf>
    <xf numFmtId="165" fontId="3" fillId="0" borderId="36" xfId="0" applyNumberFormat="1" applyFont="1" applyBorder="1" applyAlignment="1" applyProtection="1">
      <alignment horizontal="center" vertical="center"/>
      <protection hidden="1"/>
    </xf>
    <xf numFmtId="165" fontId="3" fillId="0" borderId="0" xfId="0" applyNumberFormat="1" applyFont="1" applyBorder="1" applyAlignment="1" applyProtection="1">
      <alignment horizontal="center" vertical="center"/>
      <protection hidden="1"/>
    </xf>
    <xf numFmtId="0" fontId="29" fillId="38" borderId="2" xfId="0" applyFont="1" applyFill="1" applyBorder="1" applyAlignment="1">
      <alignment horizontal="center" vertical="center"/>
    </xf>
    <xf numFmtId="0" fontId="29" fillId="38" borderId="4" xfId="0" applyFont="1" applyFill="1" applyBorder="1" applyAlignment="1">
      <alignment horizontal="center" vertical="center"/>
    </xf>
    <xf numFmtId="0" fontId="29" fillId="38" borderId="6" xfId="0" applyFont="1" applyFill="1" applyBorder="1" applyAlignment="1">
      <alignment horizontal="center" vertical="center"/>
    </xf>
    <xf numFmtId="0" fontId="3" fillId="28" borderId="0" xfId="0" applyFont="1" applyFill="1" applyProtection="1">
      <protection hidden="1"/>
    </xf>
    <xf numFmtId="0" fontId="3" fillId="28" borderId="0" xfId="0" applyFont="1" applyFill="1" applyBorder="1" applyProtection="1">
      <protection hidden="1"/>
    </xf>
    <xf numFmtId="9" fontId="4" fillId="0" borderId="0" xfId="0" applyNumberFormat="1" applyFont="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14" borderId="4" xfId="0" applyFont="1" applyFill="1" applyBorder="1" applyAlignment="1" applyProtection="1">
      <alignment horizontal="center"/>
      <protection hidden="1"/>
    </xf>
    <xf numFmtId="0" fontId="4" fillId="14" borderId="6" xfId="0" applyFont="1" applyFill="1" applyBorder="1" applyAlignment="1" applyProtection="1">
      <alignment horizontal="center" shrinkToFit="1"/>
      <protection hidden="1"/>
    </xf>
    <xf numFmtId="164" fontId="4" fillId="15" borderId="59" xfId="0" applyNumberFormat="1" applyFont="1" applyFill="1" applyBorder="1" applyAlignment="1" applyProtection="1">
      <alignment horizontal="center"/>
      <protection hidden="1"/>
    </xf>
    <xf numFmtId="164" fontId="4" fillId="15" borderId="64" xfId="0" applyNumberFormat="1" applyFont="1" applyFill="1" applyBorder="1" applyAlignment="1" applyProtection="1">
      <alignment horizontal="center"/>
      <protection hidden="1"/>
    </xf>
    <xf numFmtId="164" fontId="4" fillId="15" borderId="26" xfId="0" applyNumberFormat="1" applyFont="1" applyFill="1" applyBorder="1" applyAlignment="1" applyProtection="1">
      <alignment horizontal="center"/>
      <protection hidden="1"/>
    </xf>
    <xf numFmtId="164" fontId="4" fillId="9" borderId="59" xfId="0" applyNumberFormat="1" applyFont="1" applyFill="1" applyBorder="1" applyAlignment="1" applyProtection="1">
      <alignment horizontal="center"/>
      <protection hidden="1"/>
    </xf>
    <xf numFmtId="0" fontId="0" fillId="28" borderId="27" xfId="0" applyFill="1" applyBorder="1"/>
    <xf numFmtId="0" fontId="0" fillId="28" borderId="0" xfId="0" applyFill="1" applyBorder="1"/>
    <xf numFmtId="0" fontId="0" fillId="28" borderId="28" xfId="0" applyFill="1" applyBorder="1"/>
    <xf numFmtId="0" fontId="4" fillId="36" borderId="19" xfId="0" applyFont="1" applyFill="1" applyBorder="1" applyAlignment="1" applyProtection="1">
      <alignment horizontal="center" shrinkToFit="1"/>
      <protection hidden="1"/>
    </xf>
    <xf numFmtId="0" fontId="4" fillId="36" borderId="48" xfId="0" applyFont="1" applyFill="1" applyBorder="1" applyAlignment="1" applyProtection="1">
      <alignment horizontal="center" shrinkToFit="1"/>
      <protection hidden="1"/>
    </xf>
    <xf numFmtId="0" fontId="11" fillId="6" borderId="21" xfId="0"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shrinkToFit="1"/>
      <protection hidden="1"/>
    </xf>
    <xf numFmtId="0" fontId="5" fillId="23" borderId="19" xfId="0" applyFont="1" applyFill="1" applyBorder="1" applyAlignment="1">
      <alignment horizontal="center" vertical="center"/>
    </xf>
    <xf numFmtId="0" fontId="5" fillId="23" borderId="20" xfId="0" applyFont="1" applyFill="1" applyBorder="1" applyAlignment="1">
      <alignment horizontal="center" vertical="center"/>
    </xf>
    <xf numFmtId="0" fontId="5" fillId="23" borderId="21" xfId="0" applyFont="1" applyFill="1" applyBorder="1" applyAlignment="1">
      <alignment horizontal="center" vertical="center"/>
    </xf>
    <xf numFmtId="164" fontId="4" fillId="15" borderId="66" xfId="0" applyNumberFormat="1" applyFont="1" applyFill="1" applyBorder="1" applyAlignment="1" applyProtection="1">
      <alignment horizontal="center"/>
      <protection hidden="1"/>
    </xf>
    <xf numFmtId="3" fontId="15" fillId="17" borderId="13" xfId="0" applyNumberFormat="1" applyFont="1" applyFill="1" applyBorder="1" applyAlignment="1" applyProtection="1">
      <alignment horizontal="right" vertical="center"/>
      <protection hidden="1"/>
    </xf>
    <xf numFmtId="3" fontId="5" fillId="17" borderId="22" xfId="0" applyNumberFormat="1" applyFont="1" applyFill="1" applyBorder="1" applyAlignment="1" applyProtection="1">
      <alignment horizontal="center" vertical="center"/>
      <protection hidden="1"/>
    </xf>
    <xf numFmtId="0" fontId="4" fillId="17" borderId="22" xfId="0" applyFont="1" applyFill="1" applyBorder="1" applyAlignment="1" applyProtection="1">
      <alignment horizontal="center"/>
      <protection hidden="1"/>
    </xf>
    <xf numFmtId="3" fontId="5" fillId="17" borderId="14" xfId="0" applyNumberFormat="1" applyFont="1" applyFill="1" applyBorder="1" applyAlignment="1" applyProtection="1">
      <alignment horizontal="center" vertical="center"/>
      <protection hidden="1"/>
    </xf>
    <xf numFmtId="3" fontId="15" fillId="41" borderId="19" xfId="0" applyNumberFormat="1" applyFont="1" applyFill="1" applyBorder="1" applyAlignment="1" applyProtection="1">
      <alignment horizontal="center" vertical="center"/>
      <protection hidden="1"/>
    </xf>
    <xf numFmtId="3" fontId="4" fillId="8" borderId="21" xfId="0" applyNumberFormat="1" applyFont="1" applyFill="1" applyBorder="1" applyAlignment="1" applyProtection="1">
      <alignment horizontal="center"/>
      <protection hidden="1"/>
    </xf>
    <xf numFmtId="3" fontId="34" fillId="42" borderId="19" xfId="0" applyNumberFormat="1" applyFont="1" applyFill="1" applyBorder="1" applyAlignment="1" applyProtection="1">
      <alignment horizontal="center" vertical="center"/>
      <protection hidden="1"/>
    </xf>
    <xf numFmtId="3" fontId="11" fillId="6" borderId="21" xfId="0" applyNumberFormat="1" applyFont="1" applyFill="1" applyBorder="1" applyAlignment="1" applyProtection="1">
      <alignment horizontal="center"/>
      <protection hidden="1"/>
    </xf>
    <xf numFmtId="0" fontId="4" fillId="9" borderId="48" xfId="0" applyFont="1" applyFill="1" applyBorder="1" applyAlignment="1">
      <alignment horizontal="center"/>
    </xf>
    <xf numFmtId="3" fontId="4" fillId="9" borderId="50" xfId="0" applyNumberFormat="1" applyFont="1" applyFill="1" applyBorder="1" applyAlignment="1">
      <alignment horizontal="center"/>
    </xf>
    <xf numFmtId="0" fontId="4" fillId="27" borderId="2" xfId="0" applyFont="1" applyFill="1" applyBorder="1" applyAlignment="1" applyProtection="1">
      <alignment horizontal="center"/>
      <protection hidden="1"/>
    </xf>
    <xf numFmtId="0" fontId="4" fillId="27" borderId="43" xfId="0" applyFont="1" applyFill="1" applyBorder="1" applyAlignment="1" applyProtection="1">
      <alignment horizontal="center"/>
      <protection hidden="1"/>
    </xf>
    <xf numFmtId="0" fontId="4" fillId="27" borderId="3" xfId="0" applyFont="1" applyFill="1" applyBorder="1" applyAlignment="1" applyProtection="1">
      <alignment horizontal="center"/>
      <protection hidden="1"/>
    </xf>
    <xf numFmtId="0" fontId="4" fillId="27" borderId="7" xfId="0" applyFont="1" applyFill="1" applyBorder="1" applyAlignment="1">
      <alignment horizontal="center"/>
    </xf>
    <xf numFmtId="0" fontId="6" fillId="11" borderId="34" xfId="0" applyFont="1" applyFill="1" applyBorder="1" applyAlignment="1" applyProtection="1">
      <alignment horizontal="center" vertical="center" wrapText="1"/>
      <protection hidden="1"/>
    </xf>
    <xf numFmtId="165" fontId="5" fillId="17" borderId="16" xfId="0" applyNumberFormat="1" applyFont="1" applyFill="1" applyBorder="1" applyAlignment="1" applyProtection="1">
      <alignment horizontal="center" vertical="center"/>
      <protection hidden="1"/>
    </xf>
    <xf numFmtId="0" fontId="0" fillId="0" borderId="24" xfId="0" applyBorder="1"/>
    <xf numFmtId="0" fontId="0" fillId="0" borderId="26" xfId="0" applyBorder="1"/>
    <xf numFmtId="3" fontId="18" fillId="43" borderId="56"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7" xfId="0" applyNumberFormat="1" applyFont="1" applyBorder="1" applyAlignment="1">
      <alignment horizontal="center" vertical="center"/>
    </xf>
    <xf numFmtId="0" fontId="5" fillId="43" borderId="50" xfId="0" applyFont="1" applyFill="1" applyBorder="1" applyAlignment="1">
      <alignment horizontal="center" vertical="center"/>
    </xf>
    <xf numFmtId="0" fontId="0" fillId="0" borderId="25" xfId="0" applyBorder="1"/>
    <xf numFmtId="165" fontId="5" fillId="17" borderId="16" xfId="0" applyNumberFormat="1" applyFont="1" applyFill="1" applyBorder="1" applyAlignment="1" applyProtection="1">
      <alignment horizontal="center" vertical="center"/>
      <protection locked="0" hidden="1"/>
    </xf>
    <xf numFmtId="0" fontId="20" fillId="0" borderId="0" xfId="0" applyFont="1" applyAlignment="1">
      <alignment vertical="center" shrinkToFit="1" readingOrder="2"/>
    </xf>
    <xf numFmtId="0" fontId="20" fillId="28" borderId="40" xfId="0" applyFont="1" applyFill="1" applyBorder="1" applyAlignment="1">
      <alignment horizontal="center" vertical="center" shrinkToFit="1" readingOrder="2"/>
    </xf>
    <xf numFmtId="0" fontId="20" fillId="28" borderId="0" xfId="0" applyFont="1" applyFill="1" applyAlignment="1">
      <alignment vertical="center" shrinkToFit="1" readingOrder="2"/>
    </xf>
    <xf numFmtId="0" fontId="20" fillId="28" borderId="4" xfId="0" applyFont="1" applyFill="1" applyBorder="1" applyAlignment="1">
      <alignment horizontal="right" vertical="center" shrinkToFit="1" readingOrder="2"/>
    </xf>
    <xf numFmtId="0" fontId="20" fillId="28" borderId="27" xfId="0" applyFont="1" applyFill="1" applyBorder="1" applyAlignment="1">
      <alignment horizontal="right" vertical="center" shrinkToFit="1" readingOrder="2"/>
    </xf>
    <xf numFmtId="0" fontId="20" fillId="28" borderId="0" xfId="0" applyFont="1" applyFill="1" applyBorder="1" applyAlignment="1">
      <alignment horizontal="right" vertical="center" shrinkToFit="1" readingOrder="2"/>
    </xf>
    <xf numFmtId="0" fontId="20" fillId="28" borderId="0" xfId="0" applyFont="1" applyFill="1" applyBorder="1" applyAlignment="1">
      <alignment vertical="center" shrinkToFit="1" readingOrder="2"/>
    </xf>
    <xf numFmtId="0" fontId="20" fillId="28" borderId="28" xfId="0" applyFont="1" applyFill="1" applyBorder="1" applyAlignment="1">
      <alignment vertical="center" shrinkToFit="1" readingOrder="2"/>
    </xf>
    <xf numFmtId="3" fontId="3" fillId="28" borderId="5" xfId="0" applyNumberFormat="1" applyFont="1" applyFill="1" applyBorder="1" applyAlignment="1">
      <alignment horizontal="center" vertical="center" shrinkToFit="1" readingOrder="2"/>
    </xf>
    <xf numFmtId="3" fontId="3" fillId="28" borderId="7" xfId="0" applyNumberFormat="1" applyFont="1" applyFill="1" applyBorder="1" applyAlignment="1">
      <alignment horizontal="center" vertical="center" shrinkToFit="1" readingOrder="2"/>
    </xf>
    <xf numFmtId="1" fontId="3" fillId="28" borderId="1" xfId="0" applyNumberFormat="1" applyFont="1" applyFill="1" applyBorder="1" applyAlignment="1">
      <alignment horizontal="center" vertical="center" shrinkToFit="1" readingOrder="2"/>
    </xf>
    <xf numFmtId="1" fontId="3" fillId="28" borderId="44" xfId="0" applyNumberFormat="1" applyFont="1" applyFill="1" applyBorder="1" applyAlignment="1">
      <alignment horizontal="center" vertical="center" shrinkToFit="1" readingOrder="2"/>
    </xf>
    <xf numFmtId="0" fontId="20" fillId="28" borderId="51" xfId="0" applyFont="1" applyFill="1" applyBorder="1" applyAlignment="1">
      <alignment horizontal="right" vertical="center" shrinkToFit="1" readingOrder="2"/>
    </xf>
    <xf numFmtId="0" fontId="20" fillId="28" borderId="27" xfId="0" applyFont="1" applyFill="1" applyBorder="1" applyAlignment="1">
      <alignment horizontal="right" vertical="center" shrinkToFit="1" readingOrder="2"/>
    </xf>
    <xf numFmtId="0" fontId="20" fillId="28" borderId="59" xfId="0" applyFont="1" applyFill="1" applyBorder="1" applyAlignment="1">
      <alignment horizontal="right" vertical="center" shrinkToFit="1" readingOrder="2"/>
    </xf>
    <xf numFmtId="0" fontId="20" fillId="28" borderId="18" xfId="0" applyFont="1" applyFill="1" applyBorder="1" applyAlignment="1">
      <alignment horizontal="center" vertical="center" shrinkToFit="1" readingOrder="2"/>
    </xf>
    <xf numFmtId="0" fontId="20" fillId="28" borderId="16" xfId="0" applyFont="1" applyFill="1" applyBorder="1" applyAlignment="1">
      <alignment horizontal="center" vertical="center" shrinkToFit="1" readingOrder="2"/>
    </xf>
    <xf numFmtId="0" fontId="20" fillId="28" borderId="40" xfId="0" applyFont="1" applyFill="1" applyBorder="1" applyAlignment="1">
      <alignment vertical="center" shrinkToFit="1" readingOrder="2"/>
    </xf>
    <xf numFmtId="0" fontId="20" fillId="28" borderId="10" xfId="0" applyFont="1" applyFill="1" applyBorder="1" applyAlignment="1">
      <alignment horizontal="right" vertical="center" shrinkToFit="1" readingOrder="2"/>
    </xf>
    <xf numFmtId="2" fontId="41" fillId="28" borderId="17" xfId="0" applyNumberFormat="1" applyFont="1" applyFill="1" applyBorder="1" applyAlignment="1">
      <alignment horizontal="right" vertical="center" shrinkToFit="1" readingOrder="2"/>
    </xf>
    <xf numFmtId="0" fontId="0" fillId="28" borderId="0" xfId="0" applyFill="1" applyProtection="1">
      <protection hidden="1"/>
    </xf>
    <xf numFmtId="0" fontId="42" fillId="28" borderId="0" xfId="0" applyFont="1" applyFill="1" applyBorder="1" applyAlignment="1" applyProtection="1">
      <alignment vertical="center" shrinkToFit="1" readingOrder="2"/>
      <protection hidden="1"/>
    </xf>
    <xf numFmtId="2" fontId="41" fillId="28" borderId="0" xfId="0" applyNumberFormat="1" applyFont="1" applyFill="1" applyAlignment="1" applyProtection="1">
      <alignment horizontal="right" vertical="center" shrinkToFit="1" readingOrder="2"/>
      <protection hidden="1"/>
    </xf>
    <xf numFmtId="0" fontId="20" fillId="28" borderId="70" xfId="0" applyFont="1" applyFill="1" applyBorder="1" applyAlignment="1" applyProtection="1">
      <alignment horizontal="right" vertical="center" shrinkToFit="1" readingOrder="2"/>
      <protection hidden="1"/>
    </xf>
    <xf numFmtId="2" fontId="20" fillId="28" borderId="27" xfId="0" applyNumberFormat="1" applyFont="1" applyFill="1" applyBorder="1" applyAlignment="1" applyProtection="1">
      <alignment vertical="top" wrapText="1" shrinkToFit="1" readingOrder="2"/>
      <protection hidden="1"/>
    </xf>
    <xf numFmtId="2" fontId="20" fillId="28" borderId="65" xfId="0" applyNumberFormat="1" applyFont="1" applyFill="1" applyBorder="1" applyAlignment="1" applyProtection="1">
      <alignment vertical="top" wrapText="1" shrinkToFit="1" readingOrder="2"/>
      <protection hidden="1"/>
    </xf>
    <xf numFmtId="1" fontId="5" fillId="28" borderId="1" xfId="0" applyNumberFormat="1" applyFont="1" applyFill="1" applyBorder="1" applyAlignment="1" applyProtection="1">
      <alignment horizontal="center" vertical="center" shrinkToFit="1" readingOrder="2"/>
      <protection hidden="1"/>
    </xf>
    <xf numFmtId="3" fontId="5" fillId="28" borderId="5" xfId="0" applyNumberFormat="1" applyFont="1" applyFill="1" applyBorder="1" applyAlignment="1" applyProtection="1">
      <alignment horizontal="center" vertical="center" shrinkToFit="1" readingOrder="2"/>
      <protection hidden="1"/>
    </xf>
    <xf numFmtId="1" fontId="5" fillId="3" borderId="1" xfId="0" applyNumberFormat="1" applyFont="1" applyFill="1" applyBorder="1" applyAlignment="1" applyProtection="1">
      <alignment horizontal="center" vertical="center" shrinkToFit="1" readingOrder="2"/>
      <protection hidden="1"/>
    </xf>
    <xf numFmtId="3" fontId="5" fillId="3" borderId="5" xfId="0" applyNumberFormat="1" applyFont="1" applyFill="1" applyBorder="1" applyAlignment="1" applyProtection="1">
      <alignment horizontal="center" vertical="center" shrinkToFit="1" readingOrder="2"/>
      <protection hidden="1"/>
    </xf>
    <xf numFmtId="2" fontId="20" fillId="28" borderId="70" xfId="0" applyNumberFormat="1" applyFont="1" applyFill="1" applyBorder="1" applyAlignment="1" applyProtection="1">
      <alignment vertical="top" wrapText="1" shrinkToFit="1" readingOrder="2"/>
      <protection hidden="1"/>
    </xf>
    <xf numFmtId="2" fontId="20" fillId="28" borderId="71" xfId="0" applyNumberFormat="1" applyFont="1" applyFill="1" applyBorder="1" applyAlignment="1" applyProtection="1">
      <alignment vertical="top" wrapText="1" shrinkToFit="1" readingOrder="2"/>
      <protection hidden="1"/>
    </xf>
    <xf numFmtId="0" fontId="15" fillId="5" borderId="1" xfId="0" applyFont="1" applyFill="1" applyBorder="1" applyAlignment="1" applyProtection="1">
      <alignment horizontal="center" vertical="center" shrinkToFit="1" readingOrder="2"/>
      <protection hidden="1"/>
    </xf>
    <xf numFmtId="0" fontId="15" fillId="5" borderId="5" xfId="0" applyFont="1" applyFill="1" applyBorder="1" applyAlignment="1" applyProtection="1">
      <alignment horizontal="center" vertical="center" shrinkToFit="1" readingOrder="2"/>
      <protection hidden="1"/>
    </xf>
    <xf numFmtId="1" fontId="5" fillId="5" borderId="1" xfId="0" applyNumberFormat="1" applyFont="1" applyFill="1" applyBorder="1" applyAlignment="1" applyProtection="1">
      <alignment horizontal="center" vertical="center" shrinkToFit="1" readingOrder="2"/>
      <protection hidden="1"/>
    </xf>
    <xf numFmtId="3" fontId="5" fillId="5" borderId="5" xfId="0" applyNumberFormat="1" applyFont="1" applyFill="1" applyBorder="1" applyAlignment="1" applyProtection="1">
      <alignment horizontal="center" vertical="center" shrinkToFit="1" readingOrder="2"/>
      <protection hidden="1"/>
    </xf>
    <xf numFmtId="0" fontId="4" fillId="0" borderId="2" xfId="0" applyFont="1" applyBorder="1" applyAlignment="1" applyProtection="1">
      <alignment horizontal="center"/>
      <protection hidden="1"/>
    </xf>
    <xf numFmtId="0" fontId="4" fillId="0" borderId="4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0" fillId="0" borderId="24" xfId="0" applyBorder="1" applyProtection="1">
      <protection hidden="1"/>
    </xf>
    <xf numFmtId="0" fontId="0" fillId="0" borderId="25" xfId="0" applyBorder="1" applyProtection="1">
      <protection hidden="1"/>
    </xf>
    <xf numFmtId="164" fontId="48" fillId="2" borderId="19" xfId="0" applyNumberFormat="1" applyFont="1" applyFill="1" applyBorder="1" applyAlignment="1" applyProtection="1">
      <alignment horizontal="center" vertical="center"/>
      <protection hidden="1"/>
    </xf>
    <xf numFmtId="164" fontId="48" fillId="2" borderId="20" xfId="0" applyNumberFormat="1" applyFont="1" applyFill="1" applyBorder="1" applyAlignment="1" applyProtection="1">
      <alignment horizontal="center" vertical="center"/>
      <protection hidden="1"/>
    </xf>
    <xf numFmtId="164" fontId="48" fillId="2" borderId="21" xfId="0" applyNumberFormat="1" applyFont="1" applyFill="1" applyBorder="1" applyAlignment="1" applyProtection="1">
      <alignment horizontal="center" vertical="center"/>
      <protection hidden="1"/>
    </xf>
    <xf numFmtId="0" fontId="0" fillId="0" borderId="26" xfId="0" applyBorder="1" applyProtection="1">
      <protection hidden="1"/>
    </xf>
    <xf numFmtId="0" fontId="0" fillId="0" borderId="27" xfId="0" applyBorder="1" applyProtection="1">
      <protection hidden="1"/>
    </xf>
    <xf numFmtId="0" fontId="0" fillId="0" borderId="0" xfId="0" applyBorder="1" applyProtection="1">
      <protection hidden="1"/>
    </xf>
    <xf numFmtId="0" fontId="0" fillId="0" borderId="28" xfId="0" applyBorder="1" applyProtection="1">
      <protection hidden="1"/>
    </xf>
    <xf numFmtId="164" fontId="49" fillId="0" borderId="19" xfId="0" applyNumberFormat="1" applyFont="1" applyBorder="1" applyAlignment="1" applyProtection="1">
      <alignment horizontal="center" vertical="center"/>
      <protection hidden="1"/>
    </xf>
    <xf numFmtId="164" fontId="49" fillId="0" borderId="20" xfId="0" applyNumberFormat="1" applyFont="1" applyBorder="1" applyAlignment="1" applyProtection="1">
      <alignment horizontal="center" vertical="center"/>
      <protection hidden="1"/>
    </xf>
    <xf numFmtId="0" fontId="49" fillId="0" borderId="20" xfId="0" applyFont="1" applyBorder="1" applyAlignment="1" applyProtection="1">
      <alignment horizontal="center" vertical="center"/>
      <protection hidden="1"/>
    </xf>
    <xf numFmtId="0" fontId="49" fillId="2" borderId="20" xfId="0" applyFont="1" applyFill="1" applyBorder="1" applyAlignment="1" applyProtection="1">
      <alignment horizontal="center" vertical="center"/>
      <protection hidden="1"/>
    </xf>
    <xf numFmtId="0" fontId="50" fillId="7" borderId="20" xfId="0" applyFont="1" applyFill="1" applyBorder="1" applyAlignment="1" applyProtection="1">
      <alignment horizontal="center" vertical="center"/>
      <protection hidden="1"/>
    </xf>
    <xf numFmtId="0" fontId="50" fillId="7" borderId="21" xfId="0" applyFont="1" applyFill="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0" xfId="0" applyBorder="1" applyAlignment="1" applyProtection="1">
      <alignment vertical="center"/>
      <protection hidden="1"/>
    </xf>
    <xf numFmtId="0" fontId="51" fillId="0" borderId="0" xfId="0" applyFont="1" applyBorder="1" applyAlignment="1" applyProtection="1">
      <alignment horizontal="center" vertical="center"/>
      <protection hidden="1"/>
    </xf>
    <xf numFmtId="0" fontId="51" fillId="0" borderId="1" xfId="0" applyFont="1" applyBorder="1" applyAlignment="1" applyProtection="1">
      <alignment horizontal="center" vertical="center"/>
      <protection hidden="1"/>
    </xf>
    <xf numFmtId="0" fontId="48" fillId="0" borderId="2" xfId="0" applyFont="1" applyBorder="1" applyAlignment="1" applyProtection="1">
      <alignment horizontal="center" vertical="center"/>
      <protection hidden="1"/>
    </xf>
    <xf numFmtId="0" fontId="48" fillId="0" borderId="43" xfId="0" applyFont="1" applyBorder="1" applyAlignment="1" applyProtection="1">
      <alignment horizontal="center" vertical="center"/>
      <protection hidden="1"/>
    </xf>
    <xf numFmtId="0" fontId="48" fillId="0" borderId="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48" fillId="2" borderId="19" xfId="0" applyFont="1" applyFill="1" applyBorder="1" applyAlignment="1" applyProtection="1">
      <alignment horizontal="center" vertical="center"/>
      <protection hidden="1"/>
    </xf>
    <xf numFmtId="0" fontId="48" fillId="2" borderId="20" xfId="0" applyFont="1" applyFill="1" applyBorder="1" applyAlignment="1" applyProtection="1">
      <alignment horizontal="center" vertical="center"/>
      <protection hidden="1"/>
    </xf>
    <xf numFmtId="0" fontId="48" fillId="2" borderId="21" xfId="0" applyFont="1" applyFill="1" applyBorder="1" applyAlignment="1" applyProtection="1">
      <alignment horizontal="center" vertical="center"/>
      <protection hidden="1"/>
    </xf>
    <xf numFmtId="0" fontId="0" fillId="39" borderId="19" xfId="0" applyFill="1" applyBorder="1" applyAlignment="1" applyProtection="1">
      <alignment horizontal="center" vertical="center"/>
      <protection hidden="1"/>
    </xf>
    <xf numFmtId="0" fontId="0" fillId="39" borderId="20" xfId="0"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8" fillId="17" borderId="20" xfId="0" applyFont="1" applyFill="1" applyBorder="1" applyAlignment="1" applyProtection="1">
      <alignment horizontal="center" vertical="center"/>
      <protection hidden="1"/>
    </xf>
    <xf numFmtId="164" fontId="5" fillId="4" borderId="20" xfId="0" applyNumberFormat="1" applyFont="1" applyFill="1" applyBorder="1" applyAlignment="1" applyProtection="1">
      <alignment horizontal="center" vertical="center"/>
      <protection hidden="1"/>
    </xf>
    <xf numFmtId="0" fontId="52" fillId="0" borderId="20" xfId="0" applyFont="1" applyBorder="1" applyAlignment="1" applyProtection="1">
      <alignment horizontal="center" vertical="center"/>
      <protection hidden="1"/>
    </xf>
    <xf numFmtId="0" fontId="53" fillId="44" borderId="20" xfId="0" applyFont="1" applyFill="1" applyBorder="1" applyAlignment="1" applyProtection="1">
      <alignment horizontal="center" vertical="center"/>
      <protection hidden="1"/>
    </xf>
    <xf numFmtId="0" fontId="52" fillId="0" borderId="76" xfId="0" applyFont="1" applyBorder="1" applyAlignment="1" applyProtection="1">
      <alignment horizontal="center" vertical="center"/>
      <protection hidden="1"/>
    </xf>
    <xf numFmtId="0" fontId="48" fillId="25" borderId="19" xfId="0" applyFont="1" applyFill="1" applyBorder="1" applyAlignment="1" applyProtection="1">
      <alignment horizontal="center" vertical="center"/>
      <protection hidden="1"/>
    </xf>
    <xf numFmtId="0" fontId="48" fillId="25" borderId="20" xfId="0" applyFont="1" applyFill="1" applyBorder="1" applyAlignment="1" applyProtection="1">
      <alignment horizontal="center" vertical="center"/>
      <protection hidden="1"/>
    </xf>
    <xf numFmtId="0" fontId="48" fillId="25" borderId="21" xfId="0" applyFont="1" applyFill="1" applyBorder="1" applyAlignment="1" applyProtection="1">
      <alignment horizontal="center" vertical="center"/>
      <protection hidden="1"/>
    </xf>
    <xf numFmtId="0" fontId="52" fillId="0" borderId="34" xfId="0" applyFont="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50" fillId="17" borderId="20" xfId="0" applyFont="1" applyFill="1" applyBorder="1" applyAlignment="1" applyProtection="1">
      <alignment horizontal="center" vertical="center"/>
      <protection hidden="1"/>
    </xf>
    <xf numFmtId="164" fontId="18" fillId="4" borderId="20" xfId="0" applyNumberFormat="1" applyFont="1" applyFill="1" applyBorder="1" applyAlignment="1" applyProtection="1">
      <alignment horizontal="center" vertical="center"/>
      <protection hidden="1"/>
    </xf>
    <xf numFmtId="0" fontId="54" fillId="44" borderId="20" xfId="0" applyFont="1" applyFill="1" applyBorder="1" applyAlignment="1" applyProtection="1">
      <alignment horizontal="center" vertical="center"/>
      <protection hidden="1"/>
    </xf>
    <xf numFmtId="0" fontId="0" fillId="0" borderId="76" xfId="0" applyBorder="1" applyAlignment="1" applyProtection="1">
      <alignment horizontal="center" vertical="center"/>
      <protection hidden="1"/>
    </xf>
    <xf numFmtId="0" fontId="50" fillId="25" borderId="19" xfId="0" applyFont="1" applyFill="1" applyBorder="1" applyAlignment="1" applyProtection="1">
      <alignment horizontal="center" vertical="center"/>
      <protection hidden="1"/>
    </xf>
    <xf numFmtId="0" fontId="50" fillId="25" borderId="20" xfId="0" applyFont="1" applyFill="1" applyBorder="1" applyAlignment="1" applyProtection="1">
      <alignment horizontal="center" vertical="center"/>
      <protection hidden="1"/>
    </xf>
    <xf numFmtId="0" fontId="50" fillId="25" borderId="21" xfId="0" applyFont="1" applyFill="1"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0" fillId="0" borderId="29" xfId="0" applyBorder="1" applyProtection="1">
      <protection hidden="1"/>
    </xf>
    <xf numFmtId="0" fontId="0" fillId="0" borderId="17" xfId="0" applyBorder="1" applyProtection="1">
      <protection hidden="1"/>
    </xf>
    <xf numFmtId="0" fontId="0" fillId="0" borderId="30" xfId="0" applyBorder="1" applyProtection="1">
      <protection hidden="1"/>
    </xf>
    <xf numFmtId="0" fontId="50" fillId="8" borderId="20" xfId="0" applyFont="1" applyFill="1" applyBorder="1" applyAlignment="1" applyProtection="1">
      <alignment horizontal="center" vertical="center"/>
      <protection hidden="1"/>
    </xf>
    <xf numFmtId="0" fontId="50" fillId="8" borderId="21" xfId="0" applyFont="1" applyFill="1" applyBorder="1" applyAlignment="1" applyProtection="1">
      <alignment horizontal="center" vertical="center"/>
      <protection hidden="1"/>
    </xf>
    <xf numFmtId="164" fontId="49" fillId="10" borderId="19" xfId="0" applyNumberFormat="1" applyFont="1" applyFill="1" applyBorder="1" applyAlignment="1" applyProtection="1">
      <alignment horizontal="center" vertical="center"/>
      <protection hidden="1"/>
    </xf>
    <xf numFmtId="164" fontId="49" fillId="10" borderId="20" xfId="0" applyNumberFormat="1" applyFont="1" applyFill="1" applyBorder="1" applyAlignment="1" applyProtection="1">
      <alignment horizontal="center" vertical="center"/>
      <protection hidden="1"/>
    </xf>
    <xf numFmtId="0" fontId="0" fillId="10" borderId="0" xfId="0" applyFill="1"/>
    <xf numFmtId="0" fontId="0" fillId="0" borderId="0" xfId="0" applyAlignment="1">
      <alignment horizontal="center" vertical="center"/>
    </xf>
    <xf numFmtId="0" fontId="55" fillId="28" borderId="0" xfId="0" applyFont="1" applyFill="1" applyAlignment="1" applyProtection="1">
      <alignment horizontal="center" vertical="center" shrinkToFit="1" readingOrder="2"/>
      <protection hidden="1"/>
    </xf>
    <xf numFmtId="0" fontId="55" fillId="39" borderId="22" xfId="0" applyFont="1" applyFill="1" applyBorder="1" applyAlignment="1" applyProtection="1">
      <alignment horizontal="center" vertical="center" shrinkToFit="1" readingOrder="2"/>
      <protection hidden="1"/>
    </xf>
    <xf numFmtId="0" fontId="7" fillId="39" borderId="13" xfId="0" applyFont="1" applyFill="1" applyBorder="1" applyAlignment="1" applyProtection="1">
      <alignment horizontal="center" vertical="center" shrinkToFit="1" readingOrder="2"/>
      <protection hidden="1"/>
    </xf>
    <xf numFmtId="0" fontId="7" fillId="39" borderId="77" xfId="0" applyFont="1" applyFill="1" applyBorder="1" applyAlignment="1" applyProtection="1">
      <alignment horizontal="center" vertical="center" shrinkToFit="1" readingOrder="2"/>
      <protection hidden="1"/>
    </xf>
    <xf numFmtId="164" fontId="15" fillId="39" borderId="7" xfId="0" applyNumberFormat="1" applyFont="1" applyFill="1" applyBorder="1" applyAlignment="1" applyProtection="1">
      <alignment horizontal="center" vertical="center" shrinkToFit="1"/>
      <protection hidden="1"/>
    </xf>
    <xf numFmtId="164" fontId="15" fillId="39" borderId="44" xfId="0" applyNumberFormat="1" applyFont="1" applyFill="1" applyBorder="1" applyAlignment="1" applyProtection="1">
      <alignment horizontal="center" vertical="center" shrinkToFit="1"/>
      <protection hidden="1"/>
    </xf>
    <xf numFmtId="164" fontId="15" fillId="39" borderId="6" xfId="0" applyNumberFormat="1" applyFont="1" applyFill="1" applyBorder="1" applyAlignment="1" applyProtection="1">
      <alignment horizontal="center" vertical="center" shrinkToFit="1"/>
      <protection hidden="1"/>
    </xf>
    <xf numFmtId="0" fontId="15" fillId="39" borderId="52" xfId="0" applyFont="1" applyFill="1" applyBorder="1" applyAlignment="1" applyProtection="1">
      <alignment horizontal="center" vertical="center" shrinkToFit="1"/>
      <protection hidden="1"/>
    </xf>
    <xf numFmtId="164" fontId="15" fillId="39" borderId="63" xfId="0" applyNumberFormat="1" applyFont="1" applyFill="1" applyBorder="1" applyAlignment="1" applyProtection="1">
      <alignment horizontal="center" vertical="center" shrinkToFit="1"/>
      <protection hidden="1"/>
    </xf>
    <xf numFmtId="164" fontId="15" fillId="39" borderId="74" xfId="0" applyNumberFormat="1" applyFont="1" applyFill="1" applyBorder="1" applyAlignment="1" applyProtection="1">
      <alignment horizontal="center" vertical="center" shrinkToFit="1"/>
      <protection hidden="1"/>
    </xf>
    <xf numFmtId="164" fontId="15" fillId="39" borderId="62" xfId="0" applyNumberFormat="1" applyFont="1" applyFill="1" applyBorder="1" applyAlignment="1" applyProtection="1">
      <alignment horizontal="center" vertical="center" shrinkToFit="1"/>
      <protection hidden="1"/>
    </xf>
    <xf numFmtId="164" fontId="15" fillId="2" borderId="63" xfId="0" applyNumberFormat="1" applyFont="1" applyFill="1" applyBorder="1" applyAlignment="1" applyProtection="1">
      <alignment horizontal="center" vertical="center" shrinkToFit="1"/>
      <protection locked="0" hidden="1"/>
    </xf>
    <xf numFmtId="164" fontId="15" fillId="2" borderId="74" xfId="0" applyNumberFormat="1" applyFont="1" applyFill="1" applyBorder="1" applyAlignment="1" applyProtection="1">
      <alignment horizontal="center" vertical="center" shrinkToFit="1"/>
      <protection locked="0" hidden="1"/>
    </xf>
    <xf numFmtId="164" fontId="15" fillId="2" borderId="62" xfId="0" applyNumberFormat="1" applyFont="1" applyFill="1" applyBorder="1" applyAlignment="1" applyProtection="1">
      <alignment horizontal="center" vertical="center" shrinkToFit="1"/>
      <protection locked="0" hidden="1"/>
    </xf>
    <xf numFmtId="0" fontId="15" fillId="2" borderId="63" xfId="0" applyFont="1" applyFill="1" applyBorder="1" applyAlignment="1" applyProtection="1">
      <alignment horizontal="center" vertical="center" shrinkToFit="1"/>
      <protection locked="0" hidden="1"/>
    </xf>
    <xf numFmtId="0" fontId="15" fillId="39" borderId="27" xfId="0" applyFont="1" applyFill="1" applyBorder="1" applyAlignment="1" applyProtection="1">
      <alignment horizontal="center" vertical="center" shrinkToFit="1"/>
      <protection hidden="1"/>
    </xf>
    <xf numFmtId="164" fontId="15" fillId="39" borderId="16" xfId="0" applyNumberFormat="1" applyFont="1" applyFill="1" applyBorder="1" applyAlignment="1" applyProtection="1">
      <alignment horizontal="center" vertical="center" shrinkToFit="1"/>
      <protection hidden="1"/>
    </xf>
    <xf numFmtId="164" fontId="15" fillId="39" borderId="18" xfId="0" applyNumberFormat="1" applyFont="1" applyFill="1" applyBorder="1" applyAlignment="1" applyProtection="1">
      <alignment horizontal="center" vertical="center" shrinkToFit="1"/>
      <protection hidden="1"/>
    </xf>
    <xf numFmtId="164" fontId="15" fillId="39" borderId="15" xfId="0" applyNumberFormat="1" applyFont="1" applyFill="1" applyBorder="1" applyAlignment="1" applyProtection="1">
      <alignment horizontal="center" vertical="center" shrinkToFit="1"/>
      <protection hidden="1"/>
    </xf>
    <xf numFmtId="164" fontId="15" fillId="2" borderId="16" xfId="0" applyNumberFormat="1" applyFont="1" applyFill="1" applyBorder="1" applyAlignment="1" applyProtection="1">
      <alignment horizontal="center" vertical="center" shrinkToFit="1"/>
      <protection locked="0" hidden="1"/>
    </xf>
    <xf numFmtId="164" fontId="15" fillId="2" borderId="18" xfId="0" applyNumberFormat="1" applyFont="1" applyFill="1" applyBorder="1" applyAlignment="1" applyProtection="1">
      <alignment horizontal="center" vertical="center" shrinkToFit="1"/>
      <protection locked="0" hidden="1"/>
    </xf>
    <xf numFmtId="164" fontId="15" fillId="2" borderId="15" xfId="0" applyNumberFormat="1" applyFont="1" applyFill="1" applyBorder="1" applyAlignment="1" applyProtection="1">
      <alignment horizontal="center" vertical="center" shrinkToFit="1"/>
      <protection locked="0" hidden="1"/>
    </xf>
    <xf numFmtId="0" fontId="15" fillId="2" borderId="3" xfId="0" applyFont="1" applyFill="1" applyBorder="1" applyAlignment="1" applyProtection="1">
      <alignment horizontal="center" vertical="center" shrinkToFit="1"/>
      <protection locked="0" hidden="1"/>
    </xf>
    <xf numFmtId="0" fontId="15" fillId="39" borderId="41" xfId="0" applyFont="1" applyFill="1" applyBorder="1" applyAlignment="1" applyProtection="1">
      <alignment horizontal="center" vertical="center" shrinkToFit="1"/>
      <protection hidden="1"/>
    </xf>
    <xf numFmtId="0" fontId="57" fillId="31" borderId="21" xfId="0" applyFont="1" applyFill="1" applyBorder="1" applyAlignment="1" applyProtection="1">
      <alignment horizontal="center" vertical="center" shrinkToFit="1"/>
      <protection hidden="1"/>
    </xf>
    <xf numFmtId="0" fontId="57" fillId="31" borderId="20" xfId="0" applyFont="1" applyFill="1" applyBorder="1" applyAlignment="1" applyProtection="1">
      <alignment horizontal="center" vertical="center" shrinkToFit="1"/>
      <protection hidden="1"/>
    </xf>
    <xf numFmtId="0" fontId="57" fillId="31" borderId="19" xfId="0" applyFont="1" applyFill="1" applyBorder="1" applyAlignment="1" applyProtection="1">
      <alignment horizontal="center" vertical="center" shrinkToFit="1"/>
      <protection hidden="1"/>
    </xf>
    <xf numFmtId="0" fontId="7" fillId="28" borderId="0" xfId="0" applyFont="1" applyFill="1" applyAlignment="1" applyProtection="1">
      <alignment horizontal="center" vertical="center" shrinkToFit="1" readingOrder="2"/>
      <protection hidden="1"/>
    </xf>
    <xf numFmtId="0" fontId="7" fillId="2" borderId="21" xfId="0" applyFont="1" applyFill="1" applyBorder="1" applyAlignment="1" applyProtection="1">
      <alignment horizontal="center" vertical="center" shrinkToFit="1" readingOrder="2"/>
      <protection locked="0" hidden="1"/>
    </xf>
    <xf numFmtId="0" fontId="50" fillId="7" borderId="19" xfId="0" applyFont="1" applyFill="1" applyBorder="1" applyAlignment="1" applyProtection="1">
      <alignment horizontal="center" vertical="center"/>
      <protection hidden="1"/>
    </xf>
    <xf numFmtId="0" fontId="50" fillId="2" borderId="21" xfId="0" applyFont="1" applyFill="1" applyBorder="1" applyAlignment="1" applyProtection="1">
      <alignment horizontal="center" vertical="center"/>
      <protection hidden="1"/>
    </xf>
    <xf numFmtId="0" fontId="50" fillId="2" borderId="20" xfId="0" applyFont="1" applyFill="1" applyBorder="1" applyAlignment="1" applyProtection="1">
      <alignment horizontal="center" vertical="center"/>
      <protection hidden="1"/>
    </xf>
    <xf numFmtId="0" fontId="49" fillId="0" borderId="35" xfId="0" applyFont="1" applyBorder="1" applyAlignment="1" applyProtection="1">
      <alignment horizontal="center" vertical="center"/>
      <protection hidden="1"/>
    </xf>
    <xf numFmtId="0" fontId="54" fillId="45" borderId="21" xfId="0" applyFont="1" applyFill="1" applyBorder="1" applyAlignment="1" applyProtection="1">
      <alignment horizontal="center" vertical="center"/>
      <protection hidden="1"/>
    </xf>
    <xf numFmtId="0" fontId="49" fillId="0" borderId="23" xfId="0" applyFont="1" applyBorder="1" applyAlignment="1" applyProtection="1">
      <alignment horizontal="center" vertical="center"/>
      <protection hidden="1"/>
    </xf>
    <xf numFmtId="0" fontId="49" fillId="0" borderId="34" xfId="0" applyFont="1" applyBorder="1" applyAlignment="1" applyProtection="1">
      <alignment horizontal="center" vertical="center"/>
      <protection hidden="1"/>
    </xf>
    <xf numFmtId="0" fontId="50" fillId="17" borderId="21" xfId="0" applyFont="1" applyFill="1" applyBorder="1" applyAlignment="1" applyProtection="1">
      <alignment horizontal="center" vertical="center"/>
      <protection hidden="1"/>
    </xf>
    <xf numFmtId="0" fontId="50" fillId="17" borderId="23" xfId="0" applyFont="1" applyFill="1" applyBorder="1" applyAlignment="1" applyProtection="1">
      <alignment horizontal="center" vertical="center"/>
      <protection hidden="1"/>
    </xf>
    <xf numFmtId="164" fontId="50" fillId="39" borderId="36" xfId="0" applyNumberFormat="1" applyFont="1" applyFill="1" applyBorder="1" applyAlignment="1" applyProtection="1">
      <alignment horizontal="center" vertical="center"/>
      <protection hidden="1"/>
    </xf>
    <xf numFmtId="0" fontId="50" fillId="31" borderId="21" xfId="0" applyFont="1" applyFill="1" applyBorder="1" applyAlignment="1" applyProtection="1">
      <alignment horizontal="center" vertical="center"/>
      <protection hidden="1"/>
    </xf>
    <xf numFmtId="0" fontId="50" fillId="17" borderId="19" xfId="0" applyFont="1" applyFill="1" applyBorder="1" applyAlignment="1" applyProtection="1">
      <alignment horizontal="center" vertical="center"/>
      <protection hidden="1"/>
    </xf>
    <xf numFmtId="0" fontId="49" fillId="9" borderId="20" xfId="0" applyFont="1" applyFill="1" applyBorder="1" applyAlignment="1" applyProtection="1">
      <alignment horizontal="center" vertical="center"/>
      <protection hidden="1"/>
    </xf>
    <xf numFmtId="0" fontId="49" fillId="2" borderId="61" xfId="0" applyFont="1" applyFill="1" applyBorder="1" applyAlignment="1" applyProtection="1">
      <alignment horizontal="center" vertical="center"/>
      <protection hidden="1"/>
    </xf>
    <xf numFmtId="0" fontId="49" fillId="0" borderId="21" xfId="0" applyFont="1" applyBorder="1" applyAlignment="1" applyProtection="1">
      <alignment horizontal="center" vertical="center"/>
      <protection hidden="1"/>
    </xf>
    <xf numFmtId="0" fontId="49" fillId="2" borderId="19" xfId="0" applyFont="1" applyFill="1" applyBorder="1" applyAlignment="1" applyProtection="1">
      <alignment horizontal="center" vertical="center"/>
      <protection hidden="1"/>
    </xf>
    <xf numFmtId="0" fontId="0" fillId="0" borderId="23" xfId="0" applyBorder="1" applyAlignment="1">
      <alignment horizontal="center" vertical="center"/>
    </xf>
    <xf numFmtId="164" fontId="48" fillId="17" borderId="20" xfId="0" applyNumberFormat="1" applyFont="1" applyFill="1" applyBorder="1" applyAlignment="1" applyProtection="1">
      <alignment horizontal="center" vertical="center"/>
      <protection hidden="1"/>
    </xf>
    <xf numFmtId="164" fontId="15" fillId="28" borderId="78" xfId="0" applyNumberFormat="1" applyFont="1" applyFill="1" applyBorder="1" applyAlignment="1" applyProtection="1">
      <alignment horizontal="center" vertical="center"/>
      <protection locked="0"/>
    </xf>
    <xf numFmtId="164" fontId="15" fillId="2" borderId="78" xfId="0" applyNumberFormat="1" applyFont="1" applyFill="1" applyBorder="1" applyAlignment="1" applyProtection="1">
      <alignment horizontal="center" vertical="center"/>
      <protection locked="0"/>
    </xf>
    <xf numFmtId="164" fontId="15" fillId="2" borderId="71" xfId="0" applyNumberFormat="1" applyFont="1" applyFill="1" applyBorder="1" applyAlignment="1" applyProtection="1">
      <alignment horizontal="center" vertical="center"/>
      <protection locked="0"/>
    </xf>
    <xf numFmtId="0" fontId="0" fillId="0" borderId="1" xfId="0" applyBorder="1" applyAlignment="1">
      <alignment horizontal="center" vertical="center"/>
    </xf>
    <xf numFmtId="0" fontId="49" fillId="0" borderId="19" xfId="0" applyFont="1" applyBorder="1" applyAlignment="1" applyProtection="1">
      <alignment horizontal="center" vertical="center"/>
      <protection hidden="1"/>
    </xf>
    <xf numFmtId="0" fontId="4" fillId="7" borderId="21" xfId="0" applyFont="1" applyFill="1" applyBorder="1" applyAlignment="1" applyProtection="1">
      <alignment horizontal="center"/>
      <protection hidden="1"/>
    </xf>
    <xf numFmtId="0" fontId="3" fillId="0" borderId="10" xfId="0" applyFont="1" applyBorder="1" applyAlignment="1" applyProtection="1">
      <alignment horizontal="center" vertical="center"/>
      <protection hidden="1"/>
    </xf>
    <xf numFmtId="164" fontId="4" fillId="0" borderId="13" xfId="0" applyNumberFormat="1" applyFont="1" applyBorder="1" applyAlignment="1" applyProtection="1">
      <alignment horizontal="center"/>
      <protection hidden="1"/>
    </xf>
    <xf numFmtId="0" fontId="0" fillId="0" borderId="77" xfId="0" applyBorder="1" applyAlignment="1">
      <alignment horizontal="center" vertical="center"/>
    </xf>
    <xf numFmtId="164" fontId="4" fillId="0" borderId="4" xfId="0" applyNumberFormat="1" applyFont="1" applyBorder="1" applyAlignment="1" applyProtection="1">
      <alignment horizontal="center"/>
      <protection hidden="1"/>
    </xf>
    <xf numFmtId="0" fontId="0" fillId="9" borderId="77" xfId="0" applyFill="1" applyBorder="1" applyAlignment="1">
      <alignment horizontal="center" vertical="center"/>
    </xf>
    <xf numFmtId="0" fontId="55" fillId="10" borderId="0" xfId="0" applyFont="1" applyFill="1" applyAlignment="1" applyProtection="1">
      <alignment horizontal="center" vertical="center" shrinkToFit="1" readingOrder="2"/>
      <protection hidden="1"/>
    </xf>
    <xf numFmtId="0" fontId="0" fillId="10" borderId="0" xfId="0" applyFill="1" applyAlignment="1">
      <alignment horizontal="center" vertical="center"/>
    </xf>
    <xf numFmtId="0" fontId="5" fillId="39" borderId="2" xfId="0" applyFont="1" applyFill="1" applyBorder="1" applyAlignment="1" applyProtection="1">
      <alignment horizontal="right" shrinkToFit="1"/>
      <protection hidden="1"/>
    </xf>
    <xf numFmtId="0" fontId="5" fillId="39" borderId="4" xfId="0" applyFont="1" applyFill="1" applyBorder="1" applyAlignment="1" applyProtection="1">
      <alignment horizontal="right" shrinkToFit="1"/>
      <protection hidden="1"/>
    </xf>
    <xf numFmtId="0" fontId="5" fillId="39" borderId="6" xfId="0" applyFont="1" applyFill="1" applyBorder="1" applyAlignment="1" applyProtection="1">
      <alignment horizontal="right" shrinkToFit="1"/>
      <protection hidden="1"/>
    </xf>
    <xf numFmtId="166" fontId="59" fillId="2" borderId="45" xfId="0" applyNumberFormat="1" applyFont="1" applyFill="1" applyBorder="1" applyAlignment="1" applyProtection="1">
      <alignment horizontal="center" vertical="center"/>
      <protection locked="0"/>
    </xf>
    <xf numFmtId="166" fontId="59" fillId="2" borderId="10" xfId="0" applyNumberFormat="1" applyFont="1" applyFill="1" applyBorder="1" applyAlignment="1" applyProtection="1">
      <alignment horizontal="center" vertical="center"/>
      <protection locked="0"/>
    </xf>
    <xf numFmtId="0" fontId="59" fillId="2" borderId="45" xfId="0" applyFont="1" applyFill="1" applyBorder="1" applyAlignment="1" applyProtection="1">
      <alignment horizontal="center" vertical="center" shrinkToFit="1"/>
      <protection locked="0"/>
    </xf>
    <xf numFmtId="165" fontId="59" fillId="2" borderId="10" xfId="0" applyNumberFormat="1" applyFont="1" applyFill="1" applyBorder="1" applyAlignment="1" applyProtection="1">
      <alignment horizontal="center" vertical="center"/>
      <protection locked="0"/>
    </xf>
    <xf numFmtId="0" fontId="0" fillId="0" borderId="77" xfId="0" applyBorder="1" applyAlignment="1">
      <alignment horizontal="center" vertical="center"/>
    </xf>
    <xf numFmtId="0" fontId="4" fillId="0" borderId="2" xfId="0" applyFont="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4" xfId="0" applyFont="1" applyBorder="1" applyAlignment="1" applyProtection="1">
      <alignment horizontal="center"/>
      <protection hidden="1"/>
    </xf>
    <xf numFmtId="164" fontId="59" fillId="39" borderId="10" xfId="0" applyNumberFormat="1" applyFont="1" applyFill="1" applyBorder="1" applyAlignment="1" applyProtection="1">
      <alignment horizontal="center" vertical="center"/>
      <protection locked="0"/>
    </xf>
    <xf numFmtId="0" fontId="59" fillId="39" borderId="8" xfId="0" applyNumberFormat="1" applyFont="1" applyFill="1" applyBorder="1" applyAlignment="1" applyProtection="1">
      <alignment horizontal="center" vertical="center" shrinkToFit="1"/>
      <protection locked="0"/>
    </xf>
    <xf numFmtId="164" fontId="59" fillId="39" borderId="8" xfId="0" applyNumberFormat="1" applyFont="1" applyFill="1" applyBorder="1" applyAlignment="1" applyProtection="1">
      <alignment horizontal="center" vertical="center"/>
      <protection locked="0"/>
    </xf>
    <xf numFmtId="0" fontId="4" fillId="36" borderId="0" xfId="0" applyFont="1" applyFill="1" applyBorder="1" applyAlignment="1" applyProtection="1">
      <alignment horizontal="center" shrinkToFit="1"/>
      <protection hidden="1"/>
    </xf>
    <xf numFmtId="0" fontId="4" fillId="14" borderId="4" xfId="0" applyFont="1" applyFill="1" applyBorder="1" applyAlignment="1" applyProtection="1">
      <alignment horizontal="center" readingOrder="2"/>
      <protection hidden="1"/>
    </xf>
    <xf numFmtId="164" fontId="4" fillId="14" borderId="15" xfId="0" applyNumberFormat="1" applyFont="1" applyFill="1" applyBorder="1" applyAlignment="1" applyProtection="1">
      <alignment horizontal="center" shrinkToFit="1" readingOrder="2"/>
      <protection hidden="1"/>
    </xf>
    <xf numFmtId="164" fontId="15" fillId="2" borderId="19" xfId="0" applyNumberFormat="1" applyFont="1" applyFill="1" applyBorder="1" applyAlignment="1" applyProtection="1">
      <alignment horizontal="center" vertical="center" shrinkToFit="1"/>
      <protection locked="0" hidden="1"/>
    </xf>
    <xf numFmtId="164" fontId="15" fillId="2" borderId="20" xfId="0" applyNumberFormat="1" applyFont="1" applyFill="1" applyBorder="1" applyAlignment="1" applyProtection="1">
      <alignment horizontal="center" vertical="center" shrinkToFit="1"/>
      <protection locked="0" hidden="1"/>
    </xf>
    <xf numFmtId="164" fontId="15" fillId="2" borderId="21" xfId="0" applyNumberFormat="1" applyFont="1" applyFill="1" applyBorder="1" applyAlignment="1" applyProtection="1">
      <alignment horizontal="center" vertical="center" shrinkToFit="1"/>
      <protection locked="0" hidden="1"/>
    </xf>
    <xf numFmtId="0" fontId="57" fillId="28" borderId="0" xfId="0" applyFont="1" applyFill="1" applyBorder="1" applyAlignment="1" applyProtection="1">
      <alignment horizontal="center" shrinkToFit="1"/>
      <protection hidden="1"/>
    </xf>
    <xf numFmtId="0" fontId="0" fillId="0" borderId="1" xfId="0" applyBorder="1"/>
    <xf numFmtId="0" fontId="0" fillId="0" borderId="11" xfId="0" applyBorder="1" applyAlignment="1">
      <alignment horizontal="center" vertical="center"/>
    </xf>
    <xf numFmtId="0" fontId="0" fillId="0" borderId="22" xfId="0" applyBorder="1" applyAlignment="1">
      <alignment horizontal="center" vertical="center"/>
    </xf>
    <xf numFmtId="0" fontId="0" fillId="8" borderId="23" xfId="0" applyFill="1" applyBorder="1" applyAlignment="1">
      <alignment horizontal="center" vertical="center"/>
    </xf>
    <xf numFmtId="0" fontId="0" fillId="8" borderId="1" xfId="0" applyFill="1" applyBorder="1" applyAlignment="1">
      <alignment horizontal="center" vertical="center"/>
    </xf>
    <xf numFmtId="0" fontId="51" fillId="7" borderId="1" xfId="0" applyFont="1" applyFill="1" applyBorder="1" applyAlignment="1">
      <alignment horizontal="center" vertical="center"/>
    </xf>
    <xf numFmtId="0" fontId="20" fillId="28" borderId="4" xfId="0" applyFont="1" applyFill="1" applyBorder="1" applyAlignment="1" applyProtection="1">
      <alignment horizontal="right" vertical="center" shrinkToFit="1" readingOrder="2"/>
      <protection hidden="1"/>
    </xf>
    <xf numFmtId="0" fontId="20" fillId="28" borderId="40" xfId="0" applyFont="1" applyFill="1" applyBorder="1" applyAlignment="1" applyProtection="1">
      <alignment horizontal="right" vertical="center" shrinkToFit="1" readingOrder="2"/>
      <protection hidden="1"/>
    </xf>
    <xf numFmtId="0" fontId="20" fillId="28" borderId="59" xfId="0" applyFont="1" applyFill="1" applyBorder="1" applyAlignment="1" applyProtection="1">
      <alignment horizontal="right" vertical="center" shrinkToFit="1" readingOrder="2"/>
      <protection hidden="1"/>
    </xf>
    <xf numFmtId="0" fontId="20" fillId="28" borderId="27" xfId="0" applyFont="1" applyFill="1" applyBorder="1" applyAlignment="1" applyProtection="1">
      <alignment horizontal="right" vertical="center" shrinkToFit="1" readingOrder="2"/>
      <protection hidden="1"/>
    </xf>
    <xf numFmtId="0" fontId="56" fillId="31" borderId="20" xfId="0" applyFont="1" applyFill="1" applyBorder="1" applyAlignment="1" applyProtection="1">
      <alignment horizontal="center" vertical="center" shrinkToFit="1" readingOrder="2"/>
      <protection hidden="1"/>
    </xf>
    <xf numFmtId="0" fontId="56" fillId="31" borderId="21" xfId="0" applyFont="1" applyFill="1" applyBorder="1" applyAlignment="1" applyProtection="1">
      <alignment horizontal="center" vertical="center" shrinkToFit="1" readingOrder="2"/>
      <protection hidden="1"/>
    </xf>
    <xf numFmtId="0" fontId="4" fillId="28" borderId="0" xfId="0" applyFont="1" applyFill="1" applyBorder="1" applyAlignment="1" applyProtection="1">
      <alignment horizontal="center" shrinkToFit="1"/>
      <protection hidden="1"/>
    </xf>
    <xf numFmtId="0" fontId="51" fillId="33" borderId="1" xfId="0" applyFont="1" applyFill="1" applyBorder="1" applyAlignment="1">
      <alignment horizontal="center" vertical="center"/>
    </xf>
    <xf numFmtId="0" fontId="0" fillId="47" borderId="0" xfId="0" applyFill="1"/>
    <xf numFmtId="0" fontId="20" fillId="0" borderId="1" xfId="0" applyFont="1" applyBorder="1" applyAlignment="1">
      <alignment horizontal="center" vertical="center" shrinkToFit="1"/>
    </xf>
    <xf numFmtId="0" fontId="20" fillId="10" borderId="1" xfId="0" applyFont="1" applyFill="1" applyBorder="1" applyAlignment="1">
      <alignment horizontal="center" vertical="center" shrinkToFit="1"/>
    </xf>
    <xf numFmtId="0" fontId="20" fillId="0" borderId="22" xfId="0" applyFont="1" applyBorder="1" applyAlignment="1">
      <alignment horizontal="center" vertical="center" shrinkToFit="1"/>
    </xf>
    <xf numFmtId="0" fontId="51" fillId="11" borderId="23" xfId="0" applyFont="1" applyFill="1" applyBorder="1" applyAlignment="1">
      <alignment horizontal="center" vertical="center"/>
    </xf>
    <xf numFmtId="0" fontId="0" fillId="11" borderId="0" xfId="0" applyFill="1"/>
    <xf numFmtId="0" fontId="7" fillId="28" borderId="0" xfId="0" applyFont="1" applyFill="1" applyAlignment="1" applyProtection="1">
      <alignment vertical="center"/>
      <protection hidden="1"/>
    </xf>
    <xf numFmtId="0" fontId="14" fillId="13" borderId="15" xfId="0" applyFont="1" applyFill="1" applyBorder="1" applyAlignment="1" applyProtection="1">
      <alignment horizontal="center" vertical="center" shrinkToFit="1"/>
      <protection hidden="1"/>
    </xf>
    <xf numFmtId="2" fontId="9" fillId="20" borderId="16"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164" fontId="18" fillId="2" borderId="5" xfId="0" applyNumberFormat="1" applyFont="1" applyFill="1" applyBorder="1" applyAlignment="1" applyProtection="1">
      <alignment horizontal="center" vertical="center" shrinkToFit="1"/>
      <protection locked="0" hidden="1"/>
    </xf>
    <xf numFmtId="164" fontId="18" fillId="2" borderId="7" xfId="0" applyNumberFormat="1" applyFont="1" applyFill="1" applyBorder="1" applyAlignment="1" applyProtection="1">
      <alignment horizontal="center" vertical="center" shrinkToFit="1"/>
      <protection locked="0" hidden="1"/>
    </xf>
    <xf numFmtId="0" fontId="5" fillId="15" borderId="2" xfId="0" applyFont="1" applyFill="1" applyBorder="1" applyAlignment="1" applyProtection="1">
      <alignment horizontal="center" vertical="center" shrinkToFit="1" readingOrder="2"/>
      <protection hidden="1"/>
    </xf>
    <xf numFmtId="0" fontId="5" fillId="15" borderId="4" xfId="0" applyFont="1" applyFill="1" applyBorder="1" applyAlignment="1" applyProtection="1">
      <alignment horizontal="center" vertical="center" shrinkToFit="1" readingOrder="2"/>
      <protection hidden="1"/>
    </xf>
    <xf numFmtId="0" fontId="5" fillId="15" borderId="6" xfId="0" applyFont="1" applyFill="1" applyBorder="1" applyAlignment="1" applyProtection="1">
      <alignment horizontal="center" vertical="center" shrinkToFit="1" readingOrder="2"/>
      <protection hidden="1"/>
    </xf>
    <xf numFmtId="164" fontId="5" fillId="2" borderId="21" xfId="0" applyNumberFormat="1" applyFont="1" applyFill="1" applyBorder="1" applyAlignment="1" applyProtection="1">
      <alignment horizontal="center" vertical="center" shrinkToFit="1"/>
      <protection locked="0" hidden="1"/>
    </xf>
    <xf numFmtId="164" fontId="5" fillId="2" borderId="3" xfId="0" applyNumberFormat="1" applyFont="1" applyFill="1" applyBorder="1" applyAlignment="1" applyProtection="1">
      <alignment horizontal="center" vertical="center" shrinkToFit="1"/>
      <protection locked="0" hidden="1"/>
    </xf>
    <xf numFmtId="164" fontId="5" fillId="2" borderId="5" xfId="0" applyNumberFormat="1" applyFont="1" applyFill="1" applyBorder="1" applyAlignment="1" applyProtection="1">
      <alignment horizontal="center" vertical="center" shrinkToFit="1"/>
      <protection locked="0" hidden="1"/>
    </xf>
    <xf numFmtId="0" fontId="5" fillId="2" borderId="21" xfId="0" applyFont="1" applyFill="1" applyBorder="1" applyAlignment="1" applyProtection="1">
      <alignment horizontal="center" vertical="center" shrinkToFit="1"/>
      <protection locked="0" hidden="1"/>
    </xf>
    <xf numFmtId="0" fontId="59" fillId="31" borderId="20" xfId="0" applyFont="1" applyFill="1" applyBorder="1" applyAlignment="1" applyProtection="1">
      <alignment horizontal="center" vertical="center" shrinkToFit="1"/>
      <protection hidden="1"/>
    </xf>
    <xf numFmtId="0" fontId="59" fillId="31" borderId="21" xfId="0" applyFont="1" applyFill="1" applyBorder="1" applyAlignment="1" applyProtection="1">
      <alignment horizontal="center" vertical="center" shrinkToFit="1"/>
      <protection hidden="1"/>
    </xf>
    <xf numFmtId="0" fontId="59" fillId="31" borderId="19" xfId="0" applyFont="1" applyFill="1" applyBorder="1" applyAlignment="1" applyProtection="1">
      <alignment horizontal="center" vertical="center" shrinkToFit="1"/>
      <protection hidden="1"/>
    </xf>
    <xf numFmtId="0" fontId="7" fillId="39" borderId="1" xfId="0" applyFont="1" applyFill="1" applyBorder="1" applyAlignment="1" applyProtection="1">
      <alignment horizontal="center" vertical="center" shrinkToFit="1" readingOrder="2"/>
      <protection hidden="1"/>
    </xf>
    <xf numFmtId="0" fontId="7" fillId="39" borderId="5" xfId="0" applyFont="1" applyFill="1" applyBorder="1" applyAlignment="1" applyProtection="1">
      <alignment horizontal="center" vertical="center" shrinkToFit="1" readingOrder="2"/>
      <protection hidden="1"/>
    </xf>
    <xf numFmtId="165" fontId="59" fillId="46" borderId="3" xfId="0" applyNumberFormat="1" applyFont="1" applyFill="1" applyBorder="1" applyAlignment="1" applyProtection="1">
      <alignment horizontal="center" vertical="center" shrinkToFit="1"/>
      <protection hidden="1"/>
    </xf>
    <xf numFmtId="0" fontId="3" fillId="28" borderId="0" xfId="0" applyFont="1" applyFill="1" applyAlignment="1" applyProtection="1">
      <alignment shrinkToFit="1"/>
      <protection hidden="1"/>
    </xf>
    <xf numFmtId="165" fontId="59" fillId="46" borderId="5" xfId="0" applyNumberFormat="1" applyFont="1" applyFill="1" applyBorder="1" applyAlignment="1" applyProtection="1">
      <alignment horizontal="center" shrinkToFit="1"/>
      <protection hidden="1"/>
    </xf>
    <xf numFmtId="0" fontId="66" fillId="31" borderId="20" xfId="0" applyFont="1" applyFill="1" applyBorder="1" applyAlignment="1" applyProtection="1">
      <alignment horizontal="center" vertical="center" shrinkToFit="1"/>
      <protection hidden="1"/>
    </xf>
    <xf numFmtId="0" fontId="66" fillId="31" borderId="21" xfId="0" applyFont="1" applyFill="1" applyBorder="1" applyAlignment="1" applyProtection="1">
      <alignment horizontal="center" vertical="center" shrinkToFit="1"/>
      <protection hidden="1"/>
    </xf>
    <xf numFmtId="164" fontId="10" fillId="39" borderId="3" xfId="1" applyNumberFormat="1" applyFill="1" applyBorder="1" applyAlignment="1" applyProtection="1">
      <alignment horizontal="center" vertical="center" shrinkToFit="1" readingOrder="2"/>
      <protection hidden="1"/>
    </xf>
    <xf numFmtId="0" fontId="4" fillId="28" borderId="27" xfId="0" applyFont="1" applyFill="1" applyBorder="1" applyAlignment="1" applyProtection="1">
      <alignment horizontal="center" shrinkToFit="1"/>
      <protection hidden="1"/>
    </xf>
    <xf numFmtId="0" fontId="4" fillId="39" borderId="18" xfId="0" applyFont="1" applyFill="1" applyBorder="1" applyAlignment="1" applyProtection="1">
      <alignment horizontal="center" shrinkToFit="1"/>
      <protection hidden="1"/>
    </xf>
    <xf numFmtId="0" fontId="4" fillId="39" borderId="16" xfId="0" applyFont="1" applyFill="1" applyBorder="1" applyAlignment="1" applyProtection="1">
      <alignment horizontal="center" shrinkToFit="1"/>
      <protection hidden="1"/>
    </xf>
    <xf numFmtId="0" fontId="4" fillId="39" borderId="1" xfId="0" applyFont="1" applyFill="1" applyBorder="1" applyAlignment="1" applyProtection="1">
      <alignment horizontal="center" shrinkToFit="1"/>
      <protection hidden="1"/>
    </xf>
    <xf numFmtId="0" fontId="4" fillId="39" borderId="5" xfId="0" applyFont="1" applyFill="1" applyBorder="1" applyAlignment="1" applyProtection="1">
      <alignment horizontal="center" shrinkToFit="1"/>
      <protection hidden="1"/>
    </xf>
    <xf numFmtId="167" fontId="4" fillId="28" borderId="0" xfId="0" applyNumberFormat="1" applyFont="1" applyFill="1" applyBorder="1" applyAlignment="1" applyProtection="1">
      <alignment horizontal="center" shrinkToFit="1"/>
      <protection hidden="1"/>
    </xf>
    <xf numFmtId="0" fontId="4" fillId="39" borderId="0" xfId="0" applyFont="1" applyFill="1" applyBorder="1" applyAlignment="1" applyProtection="1">
      <alignment horizontal="center" shrinkToFit="1"/>
      <protection hidden="1"/>
    </xf>
    <xf numFmtId="0" fontId="4" fillId="39" borderId="28" xfId="0" applyFont="1" applyFill="1" applyBorder="1" applyAlignment="1" applyProtection="1">
      <alignment horizontal="center" shrinkToFit="1"/>
      <protection hidden="1"/>
    </xf>
    <xf numFmtId="167" fontId="4" fillId="39" borderId="0" xfId="0" applyNumberFormat="1" applyFont="1" applyFill="1" applyBorder="1" applyAlignment="1" applyProtection="1">
      <alignment horizontal="center" shrinkToFit="1"/>
      <protection hidden="1"/>
    </xf>
    <xf numFmtId="167" fontId="4" fillId="39" borderId="28" xfId="0" applyNumberFormat="1" applyFont="1" applyFill="1" applyBorder="1" applyAlignment="1" applyProtection="1">
      <alignment horizontal="center" shrinkToFit="1"/>
      <protection hidden="1"/>
    </xf>
    <xf numFmtId="167" fontId="11" fillId="6" borderId="22" xfId="0" applyNumberFormat="1" applyFont="1" applyFill="1" applyBorder="1" applyAlignment="1" applyProtection="1">
      <alignment horizontal="center" shrinkToFit="1"/>
      <protection hidden="1"/>
    </xf>
    <xf numFmtId="167" fontId="11" fillId="6" borderId="14" xfId="0" applyNumberFormat="1" applyFont="1" applyFill="1" applyBorder="1" applyAlignment="1" applyProtection="1">
      <alignment horizontal="center" shrinkToFit="1"/>
      <protection hidden="1"/>
    </xf>
    <xf numFmtId="0" fontId="4" fillId="9" borderId="1" xfId="0" applyFont="1" applyFill="1" applyBorder="1" applyAlignment="1" applyProtection="1">
      <alignment horizontal="center" shrinkToFit="1"/>
      <protection hidden="1"/>
    </xf>
    <xf numFmtId="0" fontId="11" fillId="28" borderId="0" xfId="0" applyFont="1" applyFill="1" applyBorder="1" applyAlignment="1" applyProtection="1">
      <alignment horizontal="center" shrinkToFit="1"/>
      <protection hidden="1"/>
    </xf>
    <xf numFmtId="0" fontId="11" fillId="28" borderId="28" xfId="0" applyFont="1" applyFill="1" applyBorder="1" applyAlignment="1" applyProtection="1">
      <alignment horizontal="center" shrinkToFit="1"/>
      <protection hidden="1"/>
    </xf>
    <xf numFmtId="168" fontId="4" fillId="28" borderId="0" xfId="0" applyNumberFormat="1" applyFont="1" applyFill="1" applyBorder="1" applyAlignment="1" applyProtection="1">
      <alignment horizontal="center" shrinkToFit="1"/>
      <protection hidden="1"/>
    </xf>
    <xf numFmtId="164" fontId="11" fillId="28" borderId="0" xfId="0" applyNumberFormat="1" applyFont="1" applyFill="1" applyBorder="1" applyAlignment="1" applyProtection="1">
      <alignment horizontal="center" shrinkToFit="1"/>
      <protection hidden="1"/>
    </xf>
    <xf numFmtId="168" fontId="11" fillId="28" borderId="28" xfId="0" applyNumberFormat="1" applyFont="1" applyFill="1" applyBorder="1" applyAlignment="1" applyProtection="1">
      <alignment horizontal="center" shrinkToFit="1"/>
      <protection hidden="1"/>
    </xf>
    <xf numFmtId="9" fontId="11" fillId="28" borderId="0" xfId="0" applyNumberFormat="1" applyFont="1" applyFill="1" applyBorder="1" applyAlignment="1" applyProtection="1">
      <alignment horizontal="center" shrinkToFit="1"/>
      <protection hidden="1"/>
    </xf>
    <xf numFmtId="167" fontId="11" fillId="6" borderId="28" xfId="0" applyNumberFormat="1" applyFont="1" applyFill="1" applyBorder="1" applyAlignment="1" applyProtection="1">
      <alignment horizontal="center" shrinkToFit="1"/>
      <protection hidden="1"/>
    </xf>
    <xf numFmtId="2" fontId="4" fillId="8" borderId="21" xfId="0" applyNumberFormat="1" applyFont="1" applyFill="1" applyBorder="1" applyAlignment="1" applyProtection="1">
      <alignment horizontal="center" shrinkToFit="1"/>
      <protection hidden="1"/>
    </xf>
    <xf numFmtId="0" fontId="4" fillId="28" borderId="28" xfId="0" applyFont="1" applyFill="1" applyBorder="1" applyAlignment="1" applyProtection="1">
      <alignment horizontal="center" shrinkToFit="1"/>
      <protection hidden="1"/>
    </xf>
    <xf numFmtId="0" fontId="4" fillId="28" borderId="27" xfId="0" applyFont="1" applyFill="1" applyBorder="1" applyAlignment="1" applyProtection="1">
      <alignment shrinkToFit="1"/>
      <protection hidden="1"/>
    </xf>
    <xf numFmtId="168" fontId="4" fillId="9" borderId="21" xfId="0" applyNumberFormat="1" applyFont="1" applyFill="1" applyBorder="1" applyAlignment="1" applyProtection="1">
      <alignment horizontal="center" shrinkToFit="1"/>
      <protection hidden="1"/>
    </xf>
    <xf numFmtId="0" fontId="4" fillId="0" borderId="15" xfId="0" applyFont="1" applyBorder="1" applyAlignment="1" applyProtection="1">
      <alignment horizontal="center" shrinkToFit="1"/>
      <protection hidden="1"/>
    </xf>
    <xf numFmtId="0" fontId="4" fillId="0" borderId="18" xfId="0" applyFont="1" applyBorder="1" applyAlignment="1" applyProtection="1">
      <alignment horizontal="center" shrinkToFit="1"/>
      <protection hidden="1"/>
    </xf>
    <xf numFmtId="0" fontId="4" fillId="0" borderId="46" xfId="0" applyFont="1" applyBorder="1" applyAlignment="1" applyProtection="1">
      <alignment horizontal="center" shrinkToFit="1"/>
      <protection hidden="1"/>
    </xf>
    <xf numFmtId="0" fontId="4" fillId="0" borderId="67" xfId="0" applyFont="1" applyBorder="1" applyAlignment="1" applyProtection="1">
      <alignment horizontal="center" shrinkToFit="1"/>
      <protection hidden="1"/>
    </xf>
    <xf numFmtId="0" fontId="4" fillId="0" borderId="1" xfId="0" applyFont="1" applyBorder="1" applyAlignment="1" applyProtection="1">
      <alignment horizontal="center" shrinkToFit="1"/>
      <protection hidden="1"/>
    </xf>
    <xf numFmtId="0" fontId="4" fillId="0" borderId="10" xfId="0" applyFont="1" applyBorder="1" applyAlignment="1" applyProtection="1">
      <alignment horizontal="center" shrinkToFit="1"/>
      <protection hidden="1"/>
    </xf>
    <xf numFmtId="0" fontId="4" fillId="0" borderId="40" xfId="0" applyFont="1" applyBorder="1" applyAlignment="1" applyProtection="1">
      <alignment horizontal="center" shrinkToFit="1"/>
      <protection hidden="1"/>
    </xf>
    <xf numFmtId="0" fontId="66" fillId="31" borderId="44" xfId="0" applyFont="1" applyFill="1" applyBorder="1" applyAlignment="1" applyProtection="1">
      <alignment horizontal="center" shrinkToFit="1"/>
      <protection hidden="1"/>
    </xf>
    <xf numFmtId="0" fontId="18" fillId="31" borderId="44" xfId="0" applyFont="1" applyFill="1" applyBorder="1" applyAlignment="1" applyProtection="1">
      <alignment horizontal="center" shrinkToFit="1"/>
      <protection hidden="1"/>
    </xf>
    <xf numFmtId="0" fontId="4" fillId="0" borderId="8" xfId="0" applyFont="1" applyBorder="1" applyAlignment="1" applyProtection="1">
      <alignment horizontal="center" shrinkToFit="1"/>
      <protection hidden="1"/>
    </xf>
    <xf numFmtId="0" fontId="32" fillId="39" borderId="44" xfId="0" applyFont="1" applyFill="1" applyBorder="1" applyAlignment="1" applyProtection="1">
      <alignment horizontal="center" shrinkToFit="1"/>
      <protection hidden="1"/>
    </xf>
    <xf numFmtId="0" fontId="4" fillId="0" borderId="69" xfId="0" applyFont="1" applyBorder="1" applyAlignment="1" applyProtection="1">
      <alignment horizontal="center" shrinkToFit="1"/>
      <protection hidden="1"/>
    </xf>
    <xf numFmtId="0" fontId="32" fillId="39" borderId="7" xfId="0" applyFont="1" applyFill="1" applyBorder="1" applyAlignment="1" applyProtection="1">
      <alignment horizontal="center" shrinkToFit="1"/>
      <protection hidden="1"/>
    </xf>
    <xf numFmtId="164" fontId="10" fillId="39" borderId="5" xfId="1" applyNumberFormat="1" applyFill="1" applyBorder="1" applyAlignment="1" applyProtection="1">
      <alignment horizontal="center" vertical="center" shrinkToFit="1" readingOrder="2"/>
      <protection hidden="1"/>
    </xf>
    <xf numFmtId="164" fontId="10" fillId="39" borderId="7" xfId="1" applyNumberFormat="1" applyFill="1" applyBorder="1" applyAlignment="1" applyProtection="1">
      <alignment horizontal="center" vertical="center" shrinkToFit="1" readingOrder="2"/>
      <protection hidden="1"/>
    </xf>
    <xf numFmtId="1" fontId="5" fillId="28" borderId="18" xfId="0" applyNumberFormat="1" applyFont="1" applyFill="1" applyBorder="1" applyAlignment="1" applyProtection="1">
      <alignment horizontal="center" vertical="center" shrinkToFit="1" readingOrder="2"/>
      <protection hidden="1"/>
    </xf>
    <xf numFmtId="3" fontId="5" fillId="28" borderId="16" xfId="0" applyNumberFormat="1" applyFont="1" applyFill="1" applyBorder="1" applyAlignment="1" applyProtection="1">
      <alignment horizontal="center" vertical="center" shrinkToFit="1" readingOrder="2"/>
      <protection hidden="1"/>
    </xf>
    <xf numFmtId="3" fontId="5" fillId="0" borderId="5" xfId="0" applyNumberFormat="1" applyFont="1" applyFill="1" applyBorder="1" applyAlignment="1" applyProtection="1">
      <alignment horizontal="center" vertical="center" shrinkToFit="1" readingOrder="2"/>
      <protection hidden="1"/>
    </xf>
    <xf numFmtId="1" fontId="5" fillId="0" borderId="1" xfId="0" applyNumberFormat="1" applyFont="1" applyFill="1" applyBorder="1" applyAlignment="1" applyProtection="1">
      <alignment horizontal="center" vertical="center" shrinkToFit="1" readingOrder="2"/>
      <protection hidden="1"/>
    </xf>
    <xf numFmtId="3" fontId="5" fillId="0" borderId="14" xfId="0" applyNumberFormat="1" applyFont="1" applyFill="1" applyBorder="1" applyAlignment="1" applyProtection="1">
      <alignment horizontal="center" vertical="center" shrinkToFit="1" readingOrder="2"/>
      <protection hidden="1"/>
    </xf>
    <xf numFmtId="1" fontId="5" fillId="0" borderId="22" xfId="0" applyNumberFormat="1" applyFont="1" applyFill="1" applyBorder="1" applyAlignment="1" applyProtection="1">
      <alignment horizontal="center" vertical="center" shrinkToFit="1" readingOrder="2"/>
      <protection hidden="1"/>
    </xf>
    <xf numFmtId="3" fontId="5" fillId="0" borderId="1" xfId="0" applyNumberFormat="1" applyFont="1" applyFill="1" applyBorder="1" applyAlignment="1" applyProtection="1">
      <alignment horizontal="center" vertical="center" shrinkToFit="1" readingOrder="2"/>
      <protection hidden="1"/>
    </xf>
    <xf numFmtId="3" fontId="5" fillId="28" borderId="1" xfId="0" applyNumberFormat="1" applyFont="1" applyFill="1" applyBorder="1" applyAlignment="1" applyProtection="1">
      <alignment horizontal="center" vertical="center" shrinkToFit="1" readingOrder="2"/>
      <protection hidden="1"/>
    </xf>
    <xf numFmtId="1" fontId="5" fillId="0" borderId="18" xfId="0" applyNumberFormat="1" applyFont="1" applyFill="1" applyBorder="1" applyAlignment="1" applyProtection="1">
      <alignment horizontal="center" vertical="center" shrinkToFit="1" readingOrder="2"/>
      <protection hidden="1"/>
    </xf>
    <xf numFmtId="0" fontId="7" fillId="39" borderId="43" xfId="0" applyFont="1" applyFill="1" applyBorder="1" applyAlignment="1" applyProtection="1">
      <alignment horizontal="center" vertical="center" shrinkToFit="1" readingOrder="2"/>
      <protection hidden="1"/>
    </xf>
    <xf numFmtId="0" fontId="7" fillId="39" borderId="44" xfId="0" applyFont="1" applyFill="1" applyBorder="1" applyAlignment="1" applyProtection="1">
      <alignment horizontal="center" vertical="center" shrinkToFit="1" readingOrder="2"/>
      <protection hidden="1"/>
    </xf>
    <xf numFmtId="0" fontId="7" fillId="39" borderId="3" xfId="0" applyFont="1" applyFill="1" applyBorder="1" applyAlignment="1" applyProtection="1">
      <alignment horizontal="center" vertical="center" shrinkToFit="1" readingOrder="2"/>
      <protection hidden="1"/>
    </xf>
    <xf numFmtId="0" fontId="7" fillId="39" borderId="7" xfId="0" applyFont="1" applyFill="1" applyBorder="1" applyAlignment="1" applyProtection="1">
      <alignment horizontal="center" vertical="center" shrinkToFit="1" readingOrder="2"/>
      <protection hidden="1"/>
    </xf>
    <xf numFmtId="0" fontId="7" fillId="39" borderId="56" xfId="0" applyFont="1" applyFill="1" applyBorder="1" applyAlignment="1" applyProtection="1">
      <alignment horizontal="center" vertical="center" shrinkToFit="1" readingOrder="2"/>
      <protection hidden="1"/>
    </xf>
    <xf numFmtId="3" fontId="5" fillId="3" borderId="1" xfId="0" applyNumberFormat="1" applyFont="1" applyFill="1" applyBorder="1" applyAlignment="1" applyProtection="1">
      <alignment horizontal="center" vertical="center" shrinkToFit="1" readingOrder="2"/>
      <protection hidden="1"/>
    </xf>
    <xf numFmtId="3" fontId="5" fillId="5" borderId="21" xfId="0" applyNumberFormat="1" applyFont="1" applyFill="1" applyBorder="1" applyAlignment="1" applyProtection="1">
      <alignment horizontal="center" vertical="center" shrinkToFit="1" readingOrder="2"/>
      <protection hidden="1"/>
    </xf>
    <xf numFmtId="1" fontId="5" fillId="5" borderId="20" xfId="0" applyNumberFormat="1" applyFont="1" applyFill="1" applyBorder="1" applyAlignment="1" applyProtection="1">
      <alignment horizontal="center" vertical="center" shrinkToFit="1" readingOrder="2"/>
      <protection hidden="1"/>
    </xf>
    <xf numFmtId="3" fontId="5" fillId="0" borderId="18" xfId="0" applyNumberFormat="1" applyFont="1" applyFill="1" applyBorder="1" applyAlignment="1" applyProtection="1">
      <alignment horizontal="center" vertical="center" shrinkToFit="1" readingOrder="2"/>
      <protection hidden="1"/>
    </xf>
    <xf numFmtId="3" fontId="5" fillId="28" borderId="18" xfId="0" applyNumberFormat="1" applyFont="1" applyFill="1" applyBorder="1" applyAlignment="1" applyProtection="1">
      <alignment horizontal="center" vertical="center" shrinkToFit="1" readingOrder="2"/>
      <protection hidden="1"/>
    </xf>
    <xf numFmtId="0" fontId="59" fillId="5" borderId="7" xfId="0" applyFont="1" applyFill="1" applyBorder="1" applyAlignment="1" applyProtection="1">
      <alignment horizontal="center" vertical="center" shrinkToFit="1" readingOrder="2"/>
      <protection hidden="1"/>
    </xf>
    <xf numFmtId="3" fontId="5" fillId="0" borderId="22" xfId="0" applyNumberFormat="1" applyFont="1" applyFill="1" applyBorder="1" applyAlignment="1" applyProtection="1">
      <alignment horizontal="center" vertical="center" shrinkToFit="1" readingOrder="2"/>
      <protection hidden="1"/>
    </xf>
    <xf numFmtId="3" fontId="5" fillId="5" borderId="20" xfId="0" applyNumberFormat="1" applyFont="1" applyFill="1" applyBorder="1" applyAlignment="1" applyProtection="1">
      <alignment horizontal="center" vertical="center" shrinkToFit="1" readingOrder="2"/>
      <protection hidden="1"/>
    </xf>
    <xf numFmtId="0" fontId="3" fillId="28" borderId="0" xfId="0" applyFont="1" applyFill="1" applyBorder="1" applyAlignment="1" applyProtection="1">
      <alignment shrinkToFit="1"/>
      <protection hidden="1"/>
    </xf>
    <xf numFmtId="165" fontId="59" fillId="46" borderId="1" xfId="0" applyNumberFormat="1" applyFont="1" applyFill="1" applyBorder="1" applyAlignment="1" applyProtection="1">
      <alignment horizontal="center" shrinkToFit="1"/>
      <protection hidden="1"/>
    </xf>
    <xf numFmtId="165" fontId="59" fillId="13" borderId="1" xfId="0" applyNumberFormat="1" applyFont="1" applyFill="1" applyBorder="1" applyAlignment="1" applyProtection="1">
      <alignment horizontal="center" vertical="center" shrinkToFit="1"/>
      <protection locked="0"/>
    </xf>
    <xf numFmtId="165" fontId="59" fillId="13" borderId="1" xfId="0" applyNumberFormat="1" applyFont="1" applyFill="1" applyBorder="1" applyAlignment="1" applyProtection="1">
      <alignment horizontal="center" vertical="center" shrinkToFit="1"/>
      <protection hidden="1"/>
    </xf>
    <xf numFmtId="165" fontId="59" fillId="46" borderId="5" xfId="0" applyNumberFormat="1" applyFont="1" applyFill="1" applyBorder="1" applyAlignment="1" applyProtection="1">
      <alignment horizontal="center" vertical="center" shrinkToFit="1"/>
      <protection hidden="1"/>
    </xf>
    <xf numFmtId="169" fontId="59" fillId="46" borderId="7" xfId="0" applyNumberFormat="1" applyFont="1" applyFill="1" applyBorder="1" applyAlignment="1" applyProtection="1">
      <alignment horizontal="center" vertical="center" shrinkToFit="1"/>
      <protection hidden="1"/>
    </xf>
    <xf numFmtId="165" fontId="59" fillId="46" borderId="3" xfId="0" applyNumberFormat="1" applyFont="1" applyFill="1" applyBorder="1" applyAlignment="1" applyProtection="1">
      <alignment horizontal="center" shrinkToFit="1"/>
      <protection hidden="1"/>
    </xf>
    <xf numFmtId="0" fontId="18" fillId="31" borderId="2" xfId="0" applyFont="1" applyFill="1" applyBorder="1" applyAlignment="1" applyProtection="1">
      <alignment horizontal="center" vertical="center" shrinkToFit="1" readingOrder="2"/>
      <protection hidden="1"/>
    </xf>
    <xf numFmtId="0" fontId="18" fillId="31" borderId="4" xfId="0" applyFont="1" applyFill="1" applyBorder="1" applyAlignment="1" applyProtection="1">
      <alignment horizontal="center" vertical="center" shrinkToFit="1" readingOrder="2"/>
      <protection hidden="1"/>
    </xf>
    <xf numFmtId="0" fontId="18" fillId="31" borderId="6" xfId="0" applyFont="1" applyFill="1" applyBorder="1" applyAlignment="1" applyProtection="1">
      <alignment horizontal="center" vertical="center" shrinkToFit="1" readingOrder="2"/>
      <protection hidden="1"/>
    </xf>
    <xf numFmtId="0" fontId="59" fillId="5" borderId="44" xfId="0" applyFont="1" applyFill="1" applyBorder="1" applyAlignment="1" applyProtection="1">
      <alignment horizontal="center" vertical="center" shrinkToFit="1" readingOrder="2"/>
      <protection hidden="1"/>
    </xf>
    <xf numFmtId="0" fontId="5" fillId="2" borderId="3" xfId="0" applyFont="1" applyFill="1" applyBorder="1" applyAlignment="1" applyProtection="1">
      <alignment horizontal="center" vertical="center" shrinkToFit="1"/>
      <protection locked="0" hidden="1"/>
    </xf>
    <xf numFmtId="0" fontId="5" fillId="2" borderId="5" xfId="0" applyFont="1" applyFill="1" applyBorder="1" applyAlignment="1" applyProtection="1">
      <alignment horizontal="center" vertical="center" shrinkToFit="1"/>
      <protection locked="0" hidden="1"/>
    </xf>
    <xf numFmtId="0" fontId="5" fillId="2" borderId="7" xfId="0" applyFont="1" applyFill="1" applyBorder="1" applyAlignment="1" applyProtection="1">
      <alignment horizontal="center" vertical="center" shrinkToFit="1"/>
      <protection locked="0" hidden="1"/>
    </xf>
    <xf numFmtId="165" fontId="59" fillId="2" borderId="21" xfId="0" applyNumberFormat="1" applyFont="1" applyFill="1" applyBorder="1" applyAlignment="1" applyProtection="1">
      <alignment horizontal="center" vertical="center"/>
      <protection locked="0" hidden="1"/>
    </xf>
    <xf numFmtId="166" fontId="59" fillId="2" borderId="21" xfId="0" applyNumberFormat="1" applyFont="1" applyFill="1" applyBorder="1" applyAlignment="1" applyProtection="1">
      <alignment horizontal="center" vertical="center"/>
      <protection locked="0" hidden="1"/>
    </xf>
    <xf numFmtId="0" fontId="59" fillId="2" borderId="21" xfId="0" applyFont="1" applyFill="1" applyBorder="1" applyAlignment="1" applyProtection="1">
      <alignment horizontal="center" vertical="center" shrinkToFit="1"/>
      <protection locked="0" hidden="1"/>
    </xf>
    <xf numFmtId="166" fontId="59" fillId="2" borderId="5" xfId="0" applyNumberFormat="1" applyFont="1" applyFill="1" applyBorder="1" applyAlignment="1" applyProtection="1">
      <alignment horizontal="center" vertical="center"/>
      <protection locked="0" hidden="1"/>
    </xf>
    <xf numFmtId="0" fontId="0" fillId="28" borderId="0" xfId="0" applyFill="1" applyAlignment="1" applyProtection="1">
      <alignment shrinkToFit="1"/>
      <protection hidden="1"/>
    </xf>
    <xf numFmtId="0" fontId="0" fillId="0" borderId="0" xfId="0" applyAlignment="1" applyProtection="1">
      <alignment shrinkToFit="1"/>
      <protection hidden="1"/>
    </xf>
    <xf numFmtId="0" fontId="20" fillId="28" borderId="0" xfId="0" applyFont="1" applyFill="1" applyAlignment="1" applyProtection="1">
      <alignment shrinkToFit="1"/>
      <protection hidden="1"/>
    </xf>
    <xf numFmtId="0" fontId="20" fillId="0" borderId="0" xfId="0" applyFont="1" applyAlignment="1" applyProtection="1">
      <alignment shrinkToFit="1"/>
      <protection hidden="1"/>
    </xf>
    <xf numFmtId="0" fontId="18" fillId="10" borderId="20" xfId="0" applyFont="1" applyFill="1" applyBorder="1" applyAlignment="1" applyProtection="1">
      <alignment horizontal="center" vertical="center" shrinkToFit="1"/>
      <protection hidden="1"/>
    </xf>
    <xf numFmtId="0" fontId="18" fillId="10" borderId="21" xfId="0" applyFont="1" applyFill="1" applyBorder="1" applyAlignment="1" applyProtection="1">
      <alignment horizontal="center" vertical="center" shrinkToFit="1"/>
      <protection hidden="1"/>
    </xf>
    <xf numFmtId="0" fontId="20" fillId="28" borderId="29" xfId="0" applyFont="1" applyFill="1" applyBorder="1" applyAlignment="1" applyProtection="1">
      <alignment shrinkToFit="1"/>
      <protection hidden="1"/>
    </xf>
    <xf numFmtId="0" fontId="20" fillId="28" borderId="17" xfId="0" applyFont="1" applyFill="1" applyBorder="1" applyAlignment="1" applyProtection="1">
      <alignment shrinkToFit="1"/>
      <protection hidden="1"/>
    </xf>
    <xf numFmtId="0" fontId="20" fillId="28" borderId="30" xfId="0" applyFont="1" applyFill="1" applyBorder="1" applyAlignment="1" applyProtection="1">
      <alignment shrinkToFit="1"/>
      <protection hidden="1"/>
    </xf>
    <xf numFmtId="0" fontId="63" fillId="28" borderId="0" xfId="0" applyFont="1" applyFill="1" applyBorder="1" applyAlignment="1" applyProtection="1">
      <alignment horizontal="center" shrinkToFit="1"/>
      <protection hidden="1"/>
    </xf>
    <xf numFmtId="0" fontId="10" fillId="28" borderId="0" xfId="1" applyFill="1" applyBorder="1" applyAlignment="1" applyProtection="1">
      <alignment horizontal="center" shrinkToFit="1"/>
      <protection hidden="1"/>
    </xf>
    <xf numFmtId="0" fontId="5" fillId="15" borderId="19" xfId="0" applyFont="1" applyFill="1" applyBorder="1" applyAlignment="1" applyProtection="1">
      <alignment horizontal="center" vertical="center" shrinkToFit="1" readingOrder="2"/>
      <protection hidden="1"/>
    </xf>
    <xf numFmtId="0" fontId="5" fillId="15" borderId="20" xfId="0" applyFont="1" applyFill="1" applyBorder="1" applyAlignment="1" applyProtection="1">
      <alignment horizontal="center" vertical="center" shrinkToFit="1" readingOrder="2"/>
      <protection hidden="1"/>
    </xf>
    <xf numFmtId="0" fontId="64" fillId="28" borderId="0" xfId="1" applyFont="1" applyFill="1" applyBorder="1" applyAlignment="1" applyProtection="1">
      <alignment horizontal="center" vertical="center" wrapText="1" shrinkToFit="1"/>
      <protection hidden="1"/>
    </xf>
    <xf numFmtId="0" fontId="64" fillId="28" borderId="17" xfId="1" applyFont="1" applyFill="1" applyBorder="1" applyAlignment="1" applyProtection="1">
      <alignment horizontal="center" vertical="center" wrapText="1" shrinkToFit="1"/>
      <protection hidden="1"/>
    </xf>
    <xf numFmtId="0" fontId="5" fillId="15" borderId="2" xfId="0" applyFont="1" applyFill="1" applyBorder="1" applyAlignment="1" applyProtection="1">
      <alignment horizontal="center" vertical="center" shrinkToFit="1" readingOrder="2"/>
      <protection hidden="1"/>
    </xf>
    <xf numFmtId="0" fontId="5" fillId="15" borderId="43" xfId="0" applyFont="1" applyFill="1" applyBorder="1" applyAlignment="1" applyProtection="1">
      <alignment horizontal="center" vertical="center" shrinkToFit="1" readingOrder="2"/>
      <protection hidden="1"/>
    </xf>
    <xf numFmtId="0" fontId="5" fillId="15" borderId="4" xfId="0" applyFont="1" applyFill="1" applyBorder="1" applyAlignment="1" applyProtection="1">
      <alignment horizontal="center" vertical="center" shrinkToFit="1" readingOrder="2"/>
      <protection hidden="1"/>
    </xf>
    <xf numFmtId="0" fontId="5" fillId="15" borderId="1" xfId="0" applyFont="1" applyFill="1" applyBorder="1" applyAlignment="1" applyProtection="1">
      <alignment horizontal="center" vertical="center" shrinkToFit="1" readingOrder="2"/>
      <protection hidden="1"/>
    </xf>
    <xf numFmtId="0" fontId="5" fillId="15" borderId="6" xfId="0" applyFont="1" applyFill="1" applyBorder="1" applyAlignment="1" applyProtection="1">
      <alignment horizontal="center" vertical="center" shrinkToFit="1" readingOrder="2"/>
      <protection hidden="1"/>
    </xf>
    <xf numFmtId="0" fontId="5" fillId="15" borderId="44" xfId="0" applyFont="1" applyFill="1" applyBorder="1" applyAlignment="1" applyProtection="1">
      <alignment horizontal="center" vertical="center" shrinkToFit="1" readingOrder="2"/>
      <protection hidden="1"/>
    </xf>
    <xf numFmtId="0" fontId="5" fillId="28" borderId="0" xfId="0" applyFont="1" applyFill="1" applyBorder="1" applyAlignment="1" applyProtection="1">
      <alignment horizontal="center" shrinkToFit="1" readingOrder="2"/>
      <protection hidden="1"/>
    </xf>
    <xf numFmtId="0" fontId="65" fillId="39" borderId="36" xfId="0" applyFont="1" applyFill="1" applyBorder="1" applyAlignment="1" applyProtection="1">
      <alignment horizontal="center" vertical="center"/>
      <protection hidden="1"/>
    </xf>
    <xf numFmtId="0" fontId="65" fillId="39" borderId="35" xfId="0" applyFont="1" applyFill="1" applyBorder="1" applyAlignment="1" applyProtection="1">
      <alignment horizontal="center" vertical="center"/>
      <protection hidden="1"/>
    </xf>
    <xf numFmtId="0" fontId="10" fillId="39" borderId="35" xfId="1" applyFill="1" applyBorder="1" applyAlignment="1" applyProtection="1">
      <alignment horizontal="center" vertical="center"/>
      <protection hidden="1"/>
    </xf>
    <xf numFmtId="0" fontId="40" fillId="39" borderId="34" xfId="0" applyFont="1" applyFill="1" applyBorder="1" applyAlignment="1" applyProtection="1">
      <alignment horizontal="center" vertical="center"/>
      <protection hidden="1"/>
    </xf>
    <xf numFmtId="0" fontId="60" fillId="28" borderId="0" xfId="0" applyFont="1" applyFill="1" applyAlignment="1" applyProtection="1">
      <alignment horizontal="center" vertical="center" shrinkToFit="1"/>
      <protection hidden="1"/>
    </xf>
    <xf numFmtId="0" fontId="62" fillId="28" borderId="0" xfId="0" applyFont="1" applyFill="1" applyAlignment="1" applyProtection="1">
      <alignment horizontal="center" vertical="center" shrinkToFit="1"/>
      <protection hidden="1"/>
    </xf>
    <xf numFmtId="0" fontId="61" fillId="28" borderId="0" xfId="0" applyFont="1" applyFill="1" applyAlignment="1" applyProtection="1">
      <alignment horizontal="center" vertical="center" shrinkToFit="1"/>
      <protection hidden="1"/>
    </xf>
    <xf numFmtId="0" fontId="18" fillId="31" borderId="2" xfId="0" applyFont="1" applyFill="1" applyBorder="1" applyAlignment="1" applyProtection="1">
      <alignment horizontal="center" vertical="center" shrinkToFit="1" readingOrder="2"/>
      <protection hidden="1"/>
    </xf>
    <xf numFmtId="0" fontId="18" fillId="31" borderId="43" xfId="0" applyFont="1" applyFill="1" applyBorder="1" applyAlignment="1" applyProtection="1">
      <alignment horizontal="center" vertical="center" shrinkToFit="1" readingOrder="2"/>
      <protection hidden="1"/>
    </xf>
    <xf numFmtId="0" fontId="18" fillId="31" borderId="4" xfId="0" applyFont="1" applyFill="1" applyBorder="1" applyAlignment="1" applyProtection="1">
      <alignment horizontal="center" vertical="center" shrinkToFit="1" readingOrder="2"/>
      <protection hidden="1"/>
    </xf>
    <xf numFmtId="0" fontId="18" fillId="31" borderId="1" xfId="0" applyFont="1" applyFill="1" applyBorder="1" applyAlignment="1" applyProtection="1">
      <alignment horizontal="center" vertical="center" shrinkToFit="1" readingOrder="2"/>
      <protection hidden="1"/>
    </xf>
    <xf numFmtId="0" fontId="18" fillId="31" borderId="6" xfId="0" applyFont="1" applyFill="1" applyBorder="1" applyAlignment="1" applyProtection="1">
      <alignment horizontal="center" vertical="center" shrinkToFit="1" readingOrder="2"/>
      <protection hidden="1"/>
    </xf>
    <xf numFmtId="0" fontId="18" fillId="31" borderId="44" xfId="0" applyFont="1" applyFill="1" applyBorder="1" applyAlignment="1" applyProtection="1">
      <alignment horizontal="center" vertical="center" shrinkToFit="1" readingOrder="2"/>
      <protection hidden="1"/>
    </xf>
    <xf numFmtId="0" fontId="7" fillId="39" borderId="4" xfId="0" applyFont="1" applyFill="1" applyBorder="1" applyAlignment="1" applyProtection="1">
      <alignment horizontal="center" vertical="center" shrinkToFit="1" readingOrder="2"/>
      <protection hidden="1"/>
    </xf>
    <xf numFmtId="0" fontId="7" fillId="39" borderId="1" xfId="0" applyFont="1" applyFill="1" applyBorder="1" applyAlignment="1" applyProtection="1">
      <alignment horizontal="center" vertical="center" shrinkToFit="1" readingOrder="2"/>
      <protection hidden="1"/>
    </xf>
    <xf numFmtId="0" fontId="7" fillId="39" borderId="6" xfId="0" applyFont="1" applyFill="1" applyBorder="1" applyAlignment="1" applyProtection="1">
      <alignment horizontal="center" vertical="center" shrinkToFit="1" readingOrder="2"/>
      <protection hidden="1"/>
    </xf>
    <xf numFmtId="0" fontId="7" fillId="39" borderId="44" xfId="0" applyFont="1" applyFill="1" applyBorder="1" applyAlignment="1" applyProtection="1">
      <alignment horizontal="center" vertical="center" shrinkToFit="1" readingOrder="2"/>
      <protection hidden="1"/>
    </xf>
    <xf numFmtId="0" fontId="61" fillId="28" borderId="25" xfId="0" applyFont="1" applyFill="1" applyBorder="1" applyAlignment="1" applyProtection="1">
      <alignment horizontal="center" vertical="center" shrinkToFit="1"/>
      <protection hidden="1"/>
    </xf>
    <xf numFmtId="0" fontId="56" fillId="10" borderId="54" xfId="0" applyFont="1" applyFill="1" applyBorder="1" applyAlignment="1" applyProtection="1">
      <alignment horizontal="center" vertical="center" shrinkToFit="1" readingOrder="2"/>
      <protection hidden="1"/>
    </xf>
    <xf numFmtId="0" fontId="56" fillId="10" borderId="55" xfId="0" applyFont="1" applyFill="1" applyBorder="1" applyAlignment="1" applyProtection="1">
      <alignment horizontal="center" vertical="center" shrinkToFit="1" readingOrder="2"/>
      <protection hidden="1"/>
    </xf>
    <xf numFmtId="0" fontId="56" fillId="31" borderId="19" xfId="0" applyFont="1" applyFill="1" applyBorder="1" applyAlignment="1" applyProtection="1">
      <alignment horizontal="center" vertical="center" shrinkToFit="1" readingOrder="2"/>
      <protection hidden="1"/>
    </xf>
    <xf numFmtId="0" fontId="56" fillId="31" borderId="20" xfId="0" applyFont="1" applyFill="1" applyBorder="1" applyAlignment="1" applyProtection="1">
      <alignment horizontal="center" vertical="center" shrinkToFit="1" readingOrder="2"/>
      <protection hidden="1"/>
    </xf>
    <xf numFmtId="0" fontId="7" fillId="39" borderId="2" xfId="0" applyFont="1" applyFill="1" applyBorder="1" applyAlignment="1" applyProtection="1">
      <alignment horizontal="center" vertical="center" shrinkToFit="1" readingOrder="2"/>
      <protection hidden="1"/>
    </xf>
    <xf numFmtId="0" fontId="7" fillId="39" borderId="43" xfId="0" applyFont="1" applyFill="1" applyBorder="1" applyAlignment="1" applyProtection="1">
      <alignment horizontal="center" vertical="center" shrinkToFit="1" readingOrder="2"/>
      <protection hidden="1"/>
    </xf>
    <xf numFmtId="0" fontId="5" fillId="28" borderId="0" xfId="0" applyFont="1" applyFill="1" applyBorder="1" applyAlignment="1" applyProtection="1">
      <alignment horizontal="center" shrinkToFit="1"/>
      <protection hidden="1"/>
    </xf>
    <xf numFmtId="0" fontId="66" fillId="39" borderId="15" xfId="0" applyFont="1" applyFill="1" applyBorder="1" applyAlignment="1" applyProtection="1">
      <alignment horizontal="center" vertical="center" shrinkToFit="1"/>
      <protection hidden="1"/>
    </xf>
    <xf numFmtId="0" fontId="66" fillId="39" borderId="18" xfId="0" applyFont="1" applyFill="1" applyBorder="1" applyAlignment="1" applyProtection="1">
      <alignment horizontal="center" vertical="center" shrinkToFit="1"/>
      <protection hidden="1"/>
    </xf>
    <xf numFmtId="0" fontId="66" fillId="39" borderId="6" xfId="0" applyFont="1" applyFill="1" applyBorder="1" applyAlignment="1" applyProtection="1">
      <alignment horizontal="center" vertical="center" shrinkToFit="1"/>
      <protection hidden="1"/>
    </xf>
    <xf numFmtId="0" fontId="66" fillId="39" borderId="44" xfId="0" applyFont="1" applyFill="1" applyBorder="1" applyAlignment="1" applyProtection="1">
      <alignment horizontal="center" vertical="center" shrinkToFit="1"/>
      <protection hidden="1"/>
    </xf>
    <xf numFmtId="0" fontId="67" fillId="31" borderId="19" xfId="0" applyFont="1" applyFill="1" applyBorder="1" applyAlignment="1" applyProtection="1">
      <alignment horizontal="center" vertical="center" shrinkToFit="1"/>
      <protection hidden="1"/>
    </xf>
    <xf numFmtId="0" fontId="67" fillId="31" borderId="20" xfId="0" applyFont="1" applyFill="1" applyBorder="1" applyAlignment="1" applyProtection="1">
      <alignment horizontal="center" vertical="center" shrinkToFit="1"/>
      <protection hidden="1"/>
    </xf>
    <xf numFmtId="0" fontId="68" fillId="28" borderId="0" xfId="0" applyFont="1" applyFill="1" applyBorder="1" applyAlignment="1" applyProtection="1">
      <alignment horizontal="center" vertical="center" shrinkToFit="1"/>
      <protection hidden="1"/>
    </xf>
    <xf numFmtId="0" fontId="18" fillId="31" borderId="52" xfId="0" applyFont="1" applyFill="1" applyBorder="1" applyAlignment="1" applyProtection="1">
      <alignment horizontal="center" shrinkToFit="1"/>
      <protection hidden="1"/>
    </xf>
    <xf numFmtId="0" fontId="18" fillId="31" borderId="12" xfId="0" applyFont="1" applyFill="1" applyBorder="1" applyAlignment="1" applyProtection="1">
      <alignment horizontal="center" shrinkToFit="1"/>
      <protection hidden="1"/>
    </xf>
    <xf numFmtId="0" fontId="18" fillId="10" borderId="36" xfId="0" applyFont="1" applyFill="1" applyBorder="1" applyAlignment="1" applyProtection="1">
      <alignment horizontal="center" vertical="center" shrinkToFit="1"/>
      <protection hidden="1"/>
    </xf>
    <xf numFmtId="0" fontId="18" fillId="10" borderId="61" xfId="0" applyFont="1" applyFill="1" applyBorder="1" applyAlignment="1" applyProtection="1">
      <alignment horizontal="center" vertical="center" shrinkToFit="1"/>
      <protection hidden="1"/>
    </xf>
    <xf numFmtId="0" fontId="4" fillId="36" borderId="36" xfId="0" applyFont="1" applyFill="1" applyBorder="1" applyAlignment="1" applyProtection="1">
      <alignment horizontal="center" shrinkToFit="1"/>
      <protection hidden="1"/>
    </xf>
    <xf numFmtId="0" fontId="4" fillId="36" borderId="61" xfId="0" applyFont="1" applyFill="1" applyBorder="1" applyAlignment="1" applyProtection="1">
      <alignment horizontal="center" shrinkToFit="1"/>
      <protection hidden="1"/>
    </xf>
    <xf numFmtId="0" fontId="4" fillId="36" borderId="1" xfId="0" applyFont="1" applyFill="1" applyBorder="1" applyAlignment="1" applyProtection="1">
      <alignment horizontal="center" shrinkToFit="1"/>
      <protection hidden="1"/>
    </xf>
    <xf numFmtId="0" fontId="4" fillId="28" borderId="53" xfId="0" applyFont="1" applyFill="1" applyBorder="1" applyAlignment="1" applyProtection="1">
      <alignment horizontal="center" shrinkToFit="1"/>
      <protection hidden="1"/>
    </xf>
    <xf numFmtId="0" fontId="4" fillId="28" borderId="0" xfId="0" applyFont="1" applyFill="1" applyBorder="1" applyAlignment="1" applyProtection="1">
      <alignment horizontal="center" shrinkToFit="1"/>
      <protection hidden="1"/>
    </xf>
    <xf numFmtId="0" fontId="4" fillId="8" borderId="19" xfId="0" applyFont="1" applyFill="1" applyBorder="1" applyAlignment="1" applyProtection="1">
      <alignment horizontal="center" shrinkToFit="1"/>
      <protection hidden="1"/>
    </xf>
    <xf numFmtId="0" fontId="4" fillId="8" borderId="20" xfId="0" applyFont="1" applyFill="1" applyBorder="1" applyAlignment="1" applyProtection="1">
      <alignment horizontal="center" shrinkToFit="1"/>
      <protection hidden="1"/>
    </xf>
    <xf numFmtId="0" fontId="14" fillId="13" borderId="6" xfId="0" applyFont="1" applyFill="1" applyBorder="1" applyAlignment="1" applyProtection="1">
      <alignment horizontal="center" vertical="center" shrinkToFit="1"/>
      <protection hidden="1"/>
    </xf>
    <xf numFmtId="0" fontId="14" fillId="13" borderId="44" xfId="0" applyFont="1" applyFill="1" applyBorder="1" applyAlignment="1" applyProtection="1">
      <alignment horizontal="center" vertical="center" shrinkToFit="1"/>
      <protection hidden="1"/>
    </xf>
    <xf numFmtId="0" fontId="5" fillId="13" borderId="4" xfId="0" applyFont="1" applyFill="1" applyBorder="1" applyAlignment="1" applyProtection="1">
      <alignment horizontal="center" shrinkToFit="1"/>
      <protection hidden="1"/>
    </xf>
    <xf numFmtId="0" fontId="5" fillId="13" borderId="1" xfId="0" applyFont="1" applyFill="1" applyBorder="1" applyAlignment="1" applyProtection="1">
      <alignment horizontal="center" shrinkToFit="1"/>
      <protection hidden="1"/>
    </xf>
    <xf numFmtId="0" fontId="69" fillId="28" borderId="0" xfId="0" applyFont="1" applyFill="1" applyBorder="1" applyAlignment="1" applyProtection="1">
      <alignment horizontal="center" vertical="center" shrinkToFit="1"/>
      <protection hidden="1"/>
    </xf>
    <xf numFmtId="0" fontId="70" fillId="28" borderId="0" xfId="1" applyFont="1" applyFill="1" applyBorder="1" applyAlignment="1" applyProtection="1">
      <alignment horizontal="center" vertical="center" shrinkToFit="1"/>
      <protection hidden="1"/>
    </xf>
    <xf numFmtId="0" fontId="71" fillId="28" borderId="0" xfId="0" applyFont="1" applyFill="1" applyAlignment="1" applyProtection="1">
      <alignment horizontal="center" vertical="center" shrinkToFit="1"/>
      <protection hidden="1"/>
    </xf>
    <xf numFmtId="0" fontId="69" fillId="28" borderId="0" xfId="0" applyFont="1" applyFill="1" applyAlignment="1" applyProtection="1">
      <alignment horizontal="center" vertical="center" shrinkToFit="1"/>
      <protection hidden="1"/>
    </xf>
    <xf numFmtId="0" fontId="72" fillId="28" borderId="0" xfId="0" applyFont="1" applyFill="1" applyAlignment="1" applyProtection="1">
      <alignment horizontal="center" vertical="center" shrinkToFit="1"/>
      <protection hidden="1"/>
    </xf>
    <xf numFmtId="0" fontId="73" fillId="28" borderId="0" xfId="0" applyFont="1" applyFill="1" applyAlignment="1" applyProtection="1">
      <alignment horizontal="center" vertical="center" shrinkToFit="1"/>
      <protection hidden="1"/>
    </xf>
    <xf numFmtId="0" fontId="14" fillId="13" borderId="4" xfId="0" applyFont="1" applyFill="1" applyBorder="1" applyAlignment="1" applyProtection="1">
      <alignment horizontal="center" vertical="center" shrinkToFit="1"/>
      <protection hidden="1"/>
    </xf>
    <xf numFmtId="0" fontId="14" fillId="13" borderId="1" xfId="0" applyFont="1" applyFill="1" applyBorder="1" applyAlignment="1" applyProtection="1">
      <alignment horizontal="center" vertical="center" shrinkToFit="1"/>
      <protection hidden="1"/>
    </xf>
    <xf numFmtId="0" fontId="5" fillId="13" borderId="2" xfId="0" applyFont="1" applyFill="1" applyBorder="1" applyAlignment="1" applyProtection="1">
      <alignment horizontal="center" shrinkToFit="1"/>
      <protection hidden="1"/>
    </xf>
    <xf numFmtId="0" fontId="5" fillId="13" borderId="43" xfId="0" applyFont="1" applyFill="1" applyBorder="1" applyAlignment="1" applyProtection="1">
      <alignment horizontal="center" shrinkToFit="1"/>
      <protection hidden="1"/>
    </xf>
    <xf numFmtId="0" fontId="14" fillId="13" borderId="2" xfId="0" applyFont="1" applyFill="1" applyBorder="1" applyAlignment="1" applyProtection="1">
      <alignment horizontal="center" vertical="center" shrinkToFit="1"/>
      <protection hidden="1"/>
    </xf>
    <xf numFmtId="0" fontId="14" fillId="13" borderId="43" xfId="0" applyFont="1" applyFill="1" applyBorder="1" applyAlignment="1" applyProtection="1">
      <alignment horizontal="center" vertical="center" shrinkToFit="1"/>
      <protection hidden="1"/>
    </xf>
    <xf numFmtId="0" fontId="20" fillId="28" borderId="13" xfId="0" applyFont="1" applyFill="1" applyBorder="1" applyAlignment="1" applyProtection="1">
      <alignment vertical="center" shrinkToFit="1" readingOrder="2"/>
      <protection hidden="1"/>
    </xf>
    <xf numFmtId="0" fontId="20" fillId="28" borderId="22" xfId="0" applyFont="1" applyFill="1" applyBorder="1" applyAlignment="1" applyProtection="1">
      <alignment vertical="center" shrinkToFit="1" readingOrder="2"/>
      <protection hidden="1"/>
    </xf>
    <xf numFmtId="0" fontId="15" fillId="5" borderId="19" xfId="0" applyFont="1" applyFill="1" applyBorder="1" applyAlignment="1" applyProtection="1">
      <alignment vertical="center" shrinkToFit="1" readingOrder="2"/>
      <protection hidden="1"/>
    </xf>
    <xf numFmtId="0" fontId="15" fillId="5" borderId="20" xfId="0" applyFont="1" applyFill="1" applyBorder="1" applyAlignment="1" applyProtection="1">
      <alignment vertical="center" shrinkToFit="1" readingOrder="2"/>
      <protection hidden="1"/>
    </xf>
    <xf numFmtId="0" fontId="20" fillId="28" borderId="4" xfId="0" applyFont="1" applyFill="1" applyBorder="1" applyAlignment="1" applyProtection="1">
      <alignment vertical="center" shrinkToFit="1" readingOrder="2"/>
      <protection hidden="1"/>
    </xf>
    <xf numFmtId="0" fontId="20" fillId="28" borderId="1" xfId="0" applyFont="1" applyFill="1" applyBorder="1" applyAlignment="1" applyProtection="1">
      <alignment vertical="center" shrinkToFit="1" readingOrder="2"/>
      <protection hidden="1"/>
    </xf>
    <xf numFmtId="0" fontId="35" fillId="28" borderId="17" xfId="0" applyFont="1" applyFill="1" applyBorder="1" applyAlignment="1" applyProtection="1">
      <alignment horizontal="center" vertical="center" shrinkToFit="1"/>
      <protection hidden="1"/>
    </xf>
    <xf numFmtId="0" fontId="66" fillId="5" borderId="43" xfId="0" applyFont="1" applyFill="1" applyBorder="1" applyAlignment="1" applyProtection="1">
      <alignment horizontal="center" vertical="center" shrinkToFit="1"/>
      <protection hidden="1"/>
    </xf>
    <xf numFmtId="0" fontId="66" fillId="5" borderId="3" xfId="0" applyFont="1" applyFill="1" applyBorder="1" applyAlignment="1" applyProtection="1">
      <alignment horizontal="center" vertical="center" shrinkToFit="1"/>
      <protection hidden="1"/>
    </xf>
    <xf numFmtId="0" fontId="20" fillId="3" borderId="1" xfId="0" applyFont="1" applyFill="1" applyBorder="1" applyAlignment="1" applyProtection="1">
      <alignment vertical="center" shrinkToFit="1" readingOrder="2"/>
      <protection hidden="1"/>
    </xf>
    <xf numFmtId="0" fontId="59" fillId="5" borderId="2" xfId="0" applyFont="1" applyFill="1" applyBorder="1" applyAlignment="1" applyProtection="1">
      <alignment horizontal="center" vertical="center" shrinkToFit="1" readingOrder="2"/>
      <protection hidden="1"/>
    </xf>
    <xf numFmtId="0" fontId="59" fillId="5" borderId="43" xfId="0" applyFont="1" applyFill="1" applyBorder="1" applyAlignment="1" applyProtection="1">
      <alignment horizontal="center" vertical="center" shrinkToFit="1" readingOrder="2"/>
      <protection hidden="1"/>
    </xf>
    <xf numFmtId="0" fontId="59" fillId="5" borderId="6" xfId="0" applyFont="1" applyFill="1" applyBorder="1" applyAlignment="1" applyProtection="1">
      <alignment horizontal="center" vertical="center" shrinkToFit="1" readingOrder="2"/>
      <protection hidden="1"/>
    </xf>
    <xf numFmtId="0" fontId="59" fillId="5" borderId="44" xfId="0" applyFont="1" applyFill="1" applyBorder="1" applyAlignment="1" applyProtection="1">
      <alignment horizontal="center" vertical="center" shrinkToFit="1" readingOrder="2"/>
      <protection hidden="1"/>
    </xf>
    <xf numFmtId="0" fontId="20" fillId="28" borderId="15" xfId="0" applyFont="1" applyFill="1" applyBorder="1" applyAlignment="1" applyProtection="1">
      <alignment vertical="center" shrinkToFit="1" readingOrder="2"/>
      <protection hidden="1"/>
    </xf>
    <xf numFmtId="0" fontId="20" fillId="28" borderId="18" xfId="0" applyFont="1" applyFill="1" applyBorder="1" applyAlignment="1" applyProtection="1">
      <alignment vertical="center" shrinkToFit="1" readingOrder="2"/>
      <protection hidden="1"/>
    </xf>
    <xf numFmtId="0" fontId="20" fillId="28" borderId="17" xfId="0" applyFont="1" applyFill="1" applyBorder="1" applyAlignment="1" applyProtection="1">
      <alignment horizontal="center" vertical="center" shrinkToFit="1" readingOrder="2"/>
      <protection hidden="1"/>
    </xf>
    <xf numFmtId="0" fontId="20" fillId="28" borderId="53" xfId="0" applyFont="1" applyFill="1" applyBorder="1" applyAlignment="1" applyProtection="1">
      <alignment horizontal="right" vertical="top" shrinkToFit="1" readingOrder="2"/>
      <protection hidden="1"/>
    </xf>
    <xf numFmtId="0" fontId="20" fillId="28" borderId="0" xfId="0" applyFont="1" applyFill="1" applyBorder="1" applyAlignment="1" applyProtection="1">
      <alignment horizontal="right" vertical="top" shrinkToFit="1" readingOrder="2"/>
      <protection hidden="1"/>
    </xf>
    <xf numFmtId="0" fontId="20" fillId="28" borderId="5" xfId="0" applyFont="1" applyFill="1" applyBorder="1" applyAlignment="1" applyProtection="1">
      <alignment horizontal="right" vertical="top" shrinkToFit="1" readingOrder="2"/>
      <protection hidden="1"/>
    </xf>
    <xf numFmtId="0" fontId="20" fillId="28" borderId="7" xfId="0" applyFont="1" applyFill="1" applyBorder="1" applyAlignment="1" applyProtection="1">
      <alignment horizontal="right" vertical="top" shrinkToFit="1" readingOrder="2"/>
      <protection hidden="1"/>
    </xf>
    <xf numFmtId="0" fontId="20" fillId="28" borderId="42" xfId="0" applyFont="1" applyFill="1" applyBorder="1" applyAlignment="1" applyProtection="1">
      <alignment horizontal="right" vertical="center" shrinkToFit="1" readingOrder="2"/>
      <protection hidden="1"/>
    </xf>
    <xf numFmtId="0" fontId="20" fillId="28" borderId="53" xfId="0" applyFont="1" applyFill="1" applyBorder="1" applyAlignment="1" applyProtection="1">
      <alignment horizontal="right" vertical="center" shrinkToFit="1" readingOrder="2"/>
      <protection hidden="1"/>
    </xf>
    <xf numFmtId="0" fontId="20" fillId="28" borderId="64" xfId="0" applyFont="1" applyFill="1" applyBorder="1" applyAlignment="1" applyProtection="1">
      <alignment horizontal="right" vertical="center" shrinkToFit="1" readingOrder="2"/>
      <protection hidden="1"/>
    </xf>
    <xf numFmtId="0" fontId="20" fillId="28" borderId="4" xfId="0" applyFont="1" applyFill="1" applyBorder="1" applyAlignment="1" applyProtection="1">
      <alignment horizontal="right" vertical="center" shrinkToFit="1" readingOrder="2"/>
      <protection hidden="1"/>
    </xf>
    <xf numFmtId="0" fontId="20" fillId="28" borderId="1" xfId="0" applyFont="1" applyFill="1" applyBorder="1" applyAlignment="1" applyProtection="1">
      <alignment horizontal="right" vertical="center" shrinkToFit="1" readingOrder="2"/>
      <protection hidden="1"/>
    </xf>
    <xf numFmtId="0" fontId="20" fillId="28" borderId="5" xfId="0" applyFont="1" applyFill="1" applyBorder="1" applyAlignment="1" applyProtection="1">
      <alignment horizontal="right" vertical="center" shrinkToFit="1" readingOrder="2"/>
      <protection hidden="1"/>
    </xf>
    <xf numFmtId="0" fontId="20" fillId="28" borderId="1" xfId="0" applyFont="1" applyFill="1" applyBorder="1" applyAlignment="1" applyProtection="1">
      <alignment horizontal="right" vertical="top" shrinkToFit="1" readingOrder="2"/>
      <protection hidden="1"/>
    </xf>
    <xf numFmtId="0" fontId="20" fillId="28" borderId="60" xfId="0" applyFont="1" applyFill="1" applyBorder="1" applyAlignment="1" applyProtection="1">
      <alignment horizontal="right" vertical="center" shrinkToFit="1" readingOrder="2"/>
      <protection hidden="1"/>
    </xf>
    <xf numFmtId="0" fontId="20" fillId="28" borderId="27" xfId="0" applyFont="1" applyFill="1" applyBorder="1" applyAlignment="1" applyProtection="1">
      <alignment horizontal="right" vertical="center" shrinkToFit="1" readingOrder="2"/>
      <protection hidden="1"/>
    </xf>
    <xf numFmtId="0" fontId="20" fillId="28" borderId="65" xfId="0" applyFont="1" applyFill="1" applyBorder="1" applyAlignment="1" applyProtection="1">
      <alignment horizontal="right" vertical="center" shrinkToFit="1" readingOrder="2"/>
      <protection hidden="1"/>
    </xf>
    <xf numFmtId="0" fontId="20" fillId="28" borderId="29" xfId="0" applyFont="1" applyFill="1" applyBorder="1" applyAlignment="1" applyProtection="1">
      <alignment horizontal="right" vertical="center" shrinkToFit="1" readingOrder="2"/>
      <protection hidden="1"/>
    </xf>
    <xf numFmtId="0" fontId="20" fillId="28" borderId="75" xfId="0" applyFont="1" applyFill="1" applyBorder="1" applyAlignment="1" applyProtection="1">
      <alignment horizontal="right" vertical="center" shrinkToFit="1" readingOrder="2"/>
      <protection hidden="1"/>
    </xf>
    <xf numFmtId="0" fontId="20" fillId="28" borderId="40" xfId="0" applyFont="1" applyFill="1" applyBorder="1" applyAlignment="1" applyProtection="1">
      <alignment horizontal="right" vertical="center" shrinkToFit="1" readingOrder="2"/>
      <protection hidden="1"/>
    </xf>
    <xf numFmtId="0" fontId="20" fillId="28" borderId="51" xfId="0" applyFont="1" applyFill="1" applyBorder="1" applyAlignment="1" applyProtection="1">
      <alignment horizontal="right" vertical="center" shrinkToFit="1" readingOrder="2"/>
      <protection hidden="1"/>
    </xf>
    <xf numFmtId="0" fontId="20" fillId="28" borderId="59" xfId="0" applyFont="1" applyFill="1" applyBorder="1" applyAlignment="1" applyProtection="1">
      <alignment horizontal="right" vertical="center" shrinkToFit="1" readingOrder="2"/>
      <protection hidden="1"/>
    </xf>
    <xf numFmtId="0" fontId="20" fillId="28" borderId="18" xfId="0" applyFont="1" applyFill="1" applyBorder="1" applyAlignment="1" applyProtection="1">
      <alignment horizontal="right" vertical="center" shrinkToFit="1" readingOrder="2"/>
      <protection hidden="1"/>
    </xf>
    <xf numFmtId="0" fontId="20" fillId="28" borderId="16" xfId="0" applyFont="1" applyFill="1" applyBorder="1" applyAlignment="1" applyProtection="1">
      <alignment horizontal="right" vertical="center" shrinkToFit="1" readingOrder="2"/>
      <protection hidden="1"/>
    </xf>
    <xf numFmtId="0" fontId="20" fillId="28" borderId="10" xfId="0" applyFont="1" applyFill="1" applyBorder="1" applyAlignment="1" applyProtection="1">
      <alignment vertical="center" shrinkToFit="1" readingOrder="2"/>
      <protection hidden="1"/>
    </xf>
    <xf numFmtId="0" fontId="20" fillId="28" borderId="40" xfId="0" applyFont="1" applyFill="1" applyBorder="1" applyAlignment="1" applyProtection="1">
      <alignment vertical="center" shrinkToFit="1" readingOrder="2"/>
      <protection hidden="1"/>
    </xf>
    <xf numFmtId="0" fontId="20" fillId="28" borderId="11" xfId="0" applyFont="1" applyFill="1" applyBorder="1" applyAlignment="1" applyProtection="1">
      <alignment vertical="center" shrinkToFit="1" readingOrder="2"/>
      <protection hidden="1"/>
    </xf>
    <xf numFmtId="0" fontId="47" fillId="28" borderId="27" xfId="0" applyFont="1" applyFill="1" applyBorder="1" applyAlignment="1" applyProtection="1">
      <alignment horizontal="center" vertical="center"/>
      <protection hidden="1"/>
    </xf>
    <xf numFmtId="0" fontId="47" fillId="28" borderId="0" xfId="0" applyFont="1" applyFill="1" applyBorder="1" applyAlignment="1" applyProtection="1">
      <alignment horizontal="center" vertical="center"/>
      <protection hidden="1"/>
    </xf>
    <xf numFmtId="2" fontId="20" fillId="28" borderId="27" xfId="0" applyNumberFormat="1" applyFont="1" applyFill="1" applyBorder="1" applyAlignment="1" applyProtection="1">
      <alignment horizontal="center" vertical="top" wrapText="1" shrinkToFit="1" readingOrder="2"/>
      <protection hidden="1"/>
    </xf>
    <xf numFmtId="2" fontId="20" fillId="28" borderId="65" xfId="0" applyNumberFormat="1" applyFont="1" applyFill="1" applyBorder="1" applyAlignment="1" applyProtection="1">
      <alignment horizontal="center" vertical="top" wrapText="1" shrinkToFit="1" readingOrder="2"/>
      <protection hidden="1"/>
    </xf>
    <xf numFmtId="0" fontId="20" fillId="28" borderId="4" xfId="0" applyFont="1" applyFill="1" applyBorder="1" applyAlignment="1" applyProtection="1">
      <alignment horizontal="right" vertical="top" wrapText="1" readingOrder="2"/>
      <protection hidden="1"/>
    </xf>
    <xf numFmtId="0" fontId="20" fillId="28" borderId="1" xfId="0" applyFont="1" applyFill="1" applyBorder="1" applyAlignment="1" applyProtection="1">
      <alignment horizontal="right" vertical="top" wrapText="1" readingOrder="2"/>
      <protection hidden="1"/>
    </xf>
    <xf numFmtId="0" fontId="20" fillId="28" borderId="5" xfId="0" applyFont="1" applyFill="1" applyBorder="1" applyAlignment="1" applyProtection="1">
      <alignment horizontal="right" vertical="top" wrapText="1" readingOrder="2"/>
      <protection hidden="1"/>
    </xf>
    <xf numFmtId="0" fontId="20" fillId="28" borderId="4" xfId="0" applyFont="1" applyFill="1" applyBorder="1" applyAlignment="1" applyProtection="1">
      <alignment horizontal="right" vertical="top" shrinkToFit="1" readingOrder="2"/>
      <protection hidden="1"/>
    </xf>
    <xf numFmtId="0" fontId="15" fillId="5" borderId="10" xfId="0" applyFont="1" applyFill="1" applyBorder="1" applyAlignment="1" applyProtection="1">
      <alignment vertical="center" shrinkToFit="1" readingOrder="2"/>
      <protection hidden="1"/>
    </xf>
    <xf numFmtId="0" fontId="15" fillId="5" borderId="40" xfId="0" applyFont="1" applyFill="1" applyBorder="1" applyAlignment="1" applyProtection="1">
      <alignment vertical="center" shrinkToFit="1" readingOrder="2"/>
      <protection hidden="1"/>
    </xf>
    <xf numFmtId="0" fontId="15" fillId="5" borderId="11" xfId="0" applyFont="1" applyFill="1" applyBorder="1" applyAlignment="1" applyProtection="1">
      <alignment vertical="center" shrinkToFit="1" readingOrder="2"/>
      <protection hidden="1"/>
    </xf>
    <xf numFmtId="0" fontId="46" fillId="28" borderId="27" xfId="1" applyFont="1" applyFill="1" applyBorder="1" applyAlignment="1" applyProtection="1">
      <alignment horizontal="center" vertical="center" shrinkToFit="1"/>
      <protection hidden="1"/>
    </xf>
    <xf numFmtId="0" fontId="46" fillId="28" borderId="0" xfId="1" applyFont="1" applyFill="1" applyBorder="1" applyAlignment="1" applyProtection="1">
      <alignment horizontal="center" vertical="center" shrinkToFit="1"/>
      <protection hidden="1"/>
    </xf>
    <xf numFmtId="0" fontId="45" fillId="28" borderId="27" xfId="0" applyFont="1" applyFill="1" applyBorder="1" applyAlignment="1" applyProtection="1">
      <alignment horizontal="center" vertical="center" shrinkToFit="1"/>
      <protection hidden="1"/>
    </xf>
    <xf numFmtId="0" fontId="45" fillId="28" borderId="0" xfId="0" applyFont="1" applyFill="1" applyBorder="1" applyAlignment="1" applyProtection="1">
      <alignment horizontal="center" vertical="center" shrinkToFit="1"/>
      <protection hidden="1"/>
    </xf>
    <xf numFmtId="0" fontId="20" fillId="28" borderId="74" xfId="0" applyFont="1" applyFill="1" applyBorder="1" applyAlignment="1" applyProtection="1">
      <alignment vertical="center" shrinkToFit="1" readingOrder="2"/>
      <protection hidden="1"/>
    </xf>
    <xf numFmtId="0" fontId="20" fillId="3" borderId="10" xfId="0" applyFont="1" applyFill="1" applyBorder="1" applyAlignment="1" applyProtection="1">
      <alignment vertical="center" shrinkToFit="1" readingOrder="2"/>
      <protection hidden="1"/>
    </xf>
    <xf numFmtId="0" fontId="20" fillId="3" borderId="11" xfId="0" applyFont="1" applyFill="1" applyBorder="1" applyAlignment="1" applyProtection="1">
      <alignment vertical="center" shrinkToFit="1" readingOrder="2"/>
      <protection hidden="1"/>
    </xf>
    <xf numFmtId="0" fontId="20" fillId="28" borderId="47" xfId="0" applyFont="1" applyFill="1" applyBorder="1" applyAlignment="1" applyProtection="1">
      <alignment horizontal="right" vertical="center" shrinkToFit="1" readingOrder="2"/>
      <protection hidden="1"/>
    </xf>
    <xf numFmtId="0" fontId="15" fillId="5" borderId="10" xfId="0" applyFont="1" applyFill="1" applyBorder="1" applyAlignment="1" applyProtection="1">
      <alignment horizontal="right" vertical="center" shrinkToFit="1" readingOrder="2"/>
      <protection hidden="1"/>
    </xf>
    <xf numFmtId="0" fontId="15" fillId="5" borderId="40" xfId="0" applyFont="1" applyFill="1" applyBorder="1" applyAlignment="1" applyProtection="1">
      <alignment horizontal="right" vertical="center" shrinkToFit="1" readingOrder="2"/>
      <protection hidden="1"/>
    </xf>
    <xf numFmtId="0" fontId="15" fillId="5" borderId="11" xfId="0" applyFont="1" applyFill="1" applyBorder="1" applyAlignment="1" applyProtection="1">
      <alignment horizontal="right" vertical="center" shrinkToFit="1" readingOrder="2"/>
      <protection hidden="1"/>
    </xf>
    <xf numFmtId="0" fontId="20" fillId="28" borderId="41" xfId="0" applyFont="1" applyFill="1" applyBorder="1" applyAlignment="1" applyProtection="1">
      <alignment horizontal="right" vertical="center" shrinkToFit="1" readingOrder="2"/>
      <protection hidden="1"/>
    </xf>
    <xf numFmtId="0" fontId="20" fillId="28" borderId="9" xfId="0" applyFont="1" applyFill="1" applyBorder="1" applyAlignment="1" applyProtection="1">
      <alignment horizontal="right" vertical="center" shrinkToFit="1" readingOrder="2"/>
      <protection hidden="1"/>
    </xf>
    <xf numFmtId="0" fontId="20" fillId="28" borderId="73" xfId="0" applyFont="1" applyFill="1" applyBorder="1" applyAlignment="1" applyProtection="1">
      <alignment horizontal="right" vertical="center" shrinkToFit="1" readingOrder="2"/>
      <protection hidden="1"/>
    </xf>
    <xf numFmtId="0" fontId="20" fillId="28" borderId="25" xfId="0" applyFont="1" applyFill="1" applyBorder="1" applyAlignment="1" applyProtection="1">
      <alignment horizontal="right" vertical="center" shrinkToFit="1" readingOrder="2"/>
      <protection hidden="1"/>
    </xf>
    <xf numFmtId="0" fontId="20" fillId="28" borderId="68" xfId="0" applyFont="1" applyFill="1" applyBorder="1" applyAlignment="1" applyProtection="1">
      <alignment horizontal="right" vertical="center" shrinkToFit="1" readingOrder="2"/>
      <protection hidden="1"/>
    </xf>
    <xf numFmtId="0" fontId="20" fillId="28" borderId="57" xfId="0" applyFont="1" applyFill="1" applyBorder="1" applyAlignment="1" applyProtection="1">
      <alignment horizontal="right" vertical="center" shrinkToFit="1" readingOrder="2"/>
      <protection hidden="1"/>
    </xf>
    <xf numFmtId="0" fontId="20" fillId="28" borderId="10" xfId="0" applyFont="1" applyFill="1" applyBorder="1" applyAlignment="1" applyProtection="1">
      <alignment horizontal="right" vertical="center" shrinkToFit="1" readingOrder="2"/>
      <protection hidden="1"/>
    </xf>
    <xf numFmtId="0" fontId="18" fillId="28" borderId="0" xfId="0" applyFont="1" applyFill="1" applyAlignment="1" applyProtection="1">
      <alignment horizontal="center" vertical="center" shrinkToFit="1" readingOrder="2"/>
      <protection hidden="1"/>
    </xf>
    <xf numFmtId="0" fontId="18" fillId="28" borderId="0" xfId="0" applyFont="1" applyFill="1" applyAlignment="1" applyProtection="1">
      <alignment horizontal="center" shrinkToFit="1" readingOrder="2"/>
      <protection hidden="1"/>
    </xf>
    <xf numFmtId="0" fontId="20" fillId="28" borderId="0" xfId="0" applyFont="1" applyFill="1" applyAlignment="1" applyProtection="1">
      <alignment horizontal="center" vertical="center" shrinkToFit="1" readingOrder="2"/>
      <protection hidden="1"/>
    </xf>
    <xf numFmtId="0" fontId="42" fillId="28" borderId="1" xfId="0" applyFont="1" applyFill="1" applyBorder="1" applyAlignment="1" applyProtection="1">
      <alignment horizontal="center" vertical="center" shrinkToFit="1" readingOrder="2"/>
      <protection hidden="1"/>
    </xf>
    <xf numFmtId="0" fontId="37" fillId="28" borderId="0" xfId="0" applyFont="1" applyFill="1" applyAlignment="1" applyProtection="1">
      <alignment horizontal="center" vertical="center" shrinkToFit="1" readingOrder="2"/>
      <protection hidden="1"/>
    </xf>
    <xf numFmtId="0" fontId="37" fillId="28" borderId="0" xfId="0" applyFont="1" applyFill="1" applyAlignment="1" applyProtection="1">
      <alignment horizontal="left" shrinkToFit="1" readingOrder="2"/>
      <protection hidden="1"/>
    </xf>
    <xf numFmtId="0" fontId="11" fillId="38" borderId="44" xfId="0" applyFont="1" applyFill="1" applyBorder="1" applyAlignment="1">
      <alignment horizontal="right" vertical="center" shrinkToFit="1"/>
    </xf>
    <xf numFmtId="0" fontId="11" fillId="38" borderId="43" xfId="0" applyFont="1" applyFill="1" applyBorder="1" applyAlignment="1">
      <alignment horizontal="right" vertical="center" shrinkToFit="1"/>
    </xf>
    <xf numFmtId="0" fontId="11" fillId="38" borderId="1" xfId="0" applyFont="1" applyFill="1" applyBorder="1" applyAlignment="1">
      <alignment horizontal="right" vertical="center" shrinkToFit="1"/>
    </xf>
    <xf numFmtId="0" fontId="15" fillId="0" borderId="29" xfId="0" applyFont="1" applyBorder="1" applyAlignment="1">
      <alignment horizontal="center" vertical="center"/>
    </xf>
    <xf numFmtId="0" fontId="15" fillId="0" borderId="17" xfId="0" applyFont="1" applyBorder="1" applyAlignment="1">
      <alignment horizontal="center" vertical="center"/>
    </xf>
    <xf numFmtId="0" fontId="15" fillId="0" borderId="30" xfId="0" applyFont="1" applyBorder="1" applyAlignment="1">
      <alignment horizontal="center" vertical="center"/>
    </xf>
    <xf numFmtId="0" fontId="35" fillId="4" borderId="31"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5" fillId="4" borderId="33" xfId="0" applyFont="1" applyFill="1" applyBorder="1" applyAlignment="1">
      <alignment horizontal="center" vertical="center" wrapText="1"/>
    </xf>
    <xf numFmtId="0" fontId="5" fillId="43" borderId="48" xfId="0" applyFont="1" applyFill="1" applyBorder="1" applyAlignment="1">
      <alignment horizontal="center" vertical="center"/>
    </xf>
    <xf numFmtId="0" fontId="5" fillId="43" borderId="49" xfId="0" applyFont="1" applyFill="1" applyBorder="1" applyAlignment="1">
      <alignment horizontal="center" vertical="center"/>
    </xf>
    <xf numFmtId="0" fontId="15" fillId="0" borderId="2" xfId="0" applyFont="1" applyBorder="1" applyAlignment="1">
      <alignment horizontal="center" vertical="center"/>
    </xf>
    <xf numFmtId="0" fontId="15" fillId="0" borderId="4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6" xfId="0" applyFont="1" applyBorder="1" applyAlignment="1">
      <alignment horizontal="center" vertical="center"/>
    </xf>
    <xf numFmtId="0" fontId="15" fillId="0" borderId="44" xfId="0" applyFont="1" applyBorder="1" applyAlignment="1">
      <alignment horizontal="center" vertical="center"/>
    </xf>
    <xf numFmtId="0" fontId="18" fillId="43" borderId="54" xfId="0" applyFont="1" applyFill="1" applyBorder="1" applyAlignment="1">
      <alignment horizontal="center" vertical="center"/>
    </xf>
    <xf numFmtId="0" fontId="18" fillId="43" borderId="55" xfId="0" applyFont="1" applyFill="1" applyBorder="1" applyAlignment="1">
      <alignment horizontal="center" vertical="center"/>
    </xf>
    <xf numFmtId="0" fontId="24" fillId="29" borderId="27" xfId="0" applyFont="1" applyFill="1" applyBorder="1" applyAlignment="1" applyProtection="1">
      <alignment horizontal="center" vertical="center"/>
      <protection hidden="1"/>
    </xf>
    <xf numFmtId="0" fontId="24" fillId="29" borderId="28" xfId="0" applyFont="1" applyFill="1" applyBorder="1" applyAlignment="1" applyProtection="1">
      <alignment horizontal="center" vertical="center"/>
      <protection hidden="1"/>
    </xf>
    <xf numFmtId="0" fontId="25" fillId="29" borderId="29" xfId="0" applyFont="1" applyFill="1" applyBorder="1" applyAlignment="1" applyProtection="1">
      <alignment horizontal="center" vertical="center" shrinkToFit="1"/>
      <protection hidden="1"/>
    </xf>
    <xf numFmtId="0" fontId="25" fillId="29" borderId="30" xfId="0" applyFont="1" applyFill="1" applyBorder="1" applyAlignment="1" applyProtection="1">
      <alignment horizontal="center" vertical="center" shrinkToFit="1"/>
      <protection hidden="1"/>
    </xf>
    <xf numFmtId="0" fontId="10" fillId="29" borderId="29" xfId="1" applyFill="1" applyBorder="1" applyAlignment="1" applyProtection="1">
      <alignment horizontal="center" vertical="center"/>
      <protection hidden="1"/>
    </xf>
    <xf numFmtId="0" fontId="26" fillId="29" borderId="30" xfId="1" applyFont="1" applyFill="1" applyBorder="1" applyAlignment="1" applyProtection="1">
      <alignment horizontal="center" vertical="center"/>
      <protection hidden="1"/>
    </xf>
    <xf numFmtId="0" fontId="27" fillId="29" borderId="24" xfId="1" applyFont="1" applyFill="1" applyBorder="1" applyAlignment="1" applyProtection="1">
      <alignment horizontal="center" vertical="center"/>
      <protection hidden="1"/>
    </xf>
    <xf numFmtId="0" fontId="26" fillId="29" borderId="26" xfId="1" applyFont="1" applyFill="1" applyBorder="1" applyAlignment="1" applyProtection="1">
      <alignment horizontal="center" vertical="center"/>
      <protection hidden="1"/>
    </xf>
    <xf numFmtId="0" fontId="33" fillId="40" borderId="36" xfId="0" applyFont="1" applyFill="1" applyBorder="1" applyAlignment="1">
      <alignment horizontal="center" vertical="center" shrinkToFit="1"/>
    </xf>
    <xf numFmtId="0" fontId="33" fillId="40" borderId="35" xfId="0" applyFont="1" applyFill="1" applyBorder="1" applyAlignment="1">
      <alignment horizontal="center" vertical="center" shrinkToFit="1"/>
    </xf>
    <xf numFmtId="0" fontId="33" fillId="40" borderId="34" xfId="0" applyFont="1" applyFill="1" applyBorder="1" applyAlignment="1">
      <alignment horizontal="center" vertical="center" shrinkToFit="1"/>
    </xf>
    <xf numFmtId="0" fontId="4" fillId="9" borderId="19" xfId="0" applyFont="1" applyFill="1" applyBorder="1" applyAlignment="1" applyProtection="1">
      <alignment horizontal="center"/>
      <protection hidden="1"/>
    </xf>
    <xf numFmtId="0" fontId="4" fillId="9" borderId="20" xfId="0" applyFont="1" applyFill="1" applyBorder="1" applyAlignment="1" applyProtection="1">
      <alignment horizontal="center"/>
      <protection hidden="1"/>
    </xf>
    <xf numFmtId="0" fontId="4" fillId="27" borderId="51" xfId="0" applyFont="1" applyFill="1" applyBorder="1" applyAlignment="1">
      <alignment horizontal="center"/>
    </xf>
    <xf numFmtId="0" fontId="4" fillId="27" borderId="11" xfId="0" applyFont="1" applyFill="1" applyBorder="1" applyAlignment="1">
      <alignment horizontal="center"/>
    </xf>
    <xf numFmtId="0" fontId="4" fillId="27" borderId="52" xfId="0" applyFont="1" applyFill="1" applyBorder="1" applyAlignment="1">
      <alignment horizontal="center"/>
    </xf>
    <xf numFmtId="0" fontId="4" fillId="27" borderId="12" xfId="0" applyFont="1" applyFill="1" applyBorder="1" applyAlignment="1">
      <alignment horizontal="center"/>
    </xf>
    <xf numFmtId="0" fontId="4" fillId="0" borderId="1" xfId="0" applyFont="1" applyBorder="1" applyAlignment="1" applyProtection="1">
      <alignment horizontal="center"/>
      <protection hidden="1"/>
    </xf>
    <xf numFmtId="0" fontId="4" fillId="2" borderId="54" xfId="0" applyFont="1" applyFill="1" applyBorder="1" applyAlignment="1" applyProtection="1">
      <alignment horizontal="center"/>
      <protection hidden="1"/>
    </xf>
    <xf numFmtId="0" fontId="4" fillId="2" borderId="55" xfId="0" applyFont="1" applyFill="1" applyBorder="1" applyAlignment="1" applyProtection="1">
      <alignment horizontal="center"/>
      <protection hidden="1"/>
    </xf>
    <xf numFmtId="0" fontId="4" fillId="10" borderId="19" xfId="0" applyFont="1" applyFill="1" applyBorder="1" applyAlignment="1" applyProtection="1">
      <alignment horizontal="center" shrinkToFit="1"/>
      <protection hidden="1"/>
    </xf>
    <xf numFmtId="0" fontId="4" fillId="10" borderId="20" xfId="0" applyFont="1" applyFill="1" applyBorder="1" applyAlignment="1" applyProtection="1">
      <alignment horizontal="center" shrinkToFit="1"/>
      <protection hidden="1"/>
    </xf>
    <xf numFmtId="0" fontId="4" fillId="8" borderId="6" xfId="0" applyFont="1" applyFill="1" applyBorder="1" applyAlignment="1" applyProtection="1">
      <alignment horizontal="center"/>
      <protection hidden="1"/>
    </xf>
    <xf numFmtId="0" fontId="4" fillId="8" borderId="44" xfId="0" applyFont="1" applyFill="1" applyBorder="1" applyAlignment="1" applyProtection="1">
      <alignment horizontal="center"/>
      <protection hidden="1"/>
    </xf>
    <xf numFmtId="0" fontId="4" fillId="0" borderId="48" xfId="0" applyFont="1" applyBorder="1" applyAlignment="1" applyProtection="1">
      <alignment horizontal="center"/>
      <protection hidden="1"/>
    </xf>
    <xf numFmtId="0" fontId="4" fillId="0" borderId="49"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4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2" borderId="6" xfId="0" applyFont="1" applyFill="1" applyBorder="1" applyAlignment="1" applyProtection="1">
      <alignment horizontal="center"/>
      <protection hidden="1"/>
    </xf>
    <xf numFmtId="0" fontId="4" fillId="2" borderId="44" xfId="0" applyFont="1" applyFill="1" applyBorder="1" applyAlignment="1" applyProtection="1">
      <alignment horizontal="center"/>
      <protection hidden="1"/>
    </xf>
    <xf numFmtId="0" fontId="4" fillId="2" borderId="19" xfId="0" applyFont="1" applyFill="1" applyBorder="1" applyAlignment="1" applyProtection="1">
      <alignment horizontal="center"/>
      <protection hidden="1"/>
    </xf>
    <xf numFmtId="0" fontId="4" fillId="2" borderId="20" xfId="0" applyFont="1" applyFill="1" applyBorder="1" applyAlignment="1" applyProtection="1">
      <alignment horizontal="center"/>
      <protection hidden="1"/>
    </xf>
    <xf numFmtId="0" fontId="4" fillId="10" borderId="6" xfId="0" applyFont="1" applyFill="1" applyBorder="1" applyAlignment="1" applyProtection="1">
      <alignment horizontal="center"/>
      <protection hidden="1"/>
    </xf>
    <xf numFmtId="0" fontId="4" fillId="10" borderId="44" xfId="0" applyFont="1" applyFill="1" applyBorder="1" applyAlignment="1" applyProtection="1">
      <alignment horizontal="center"/>
      <protection hidden="1"/>
    </xf>
    <xf numFmtId="0" fontId="4" fillId="11" borderId="6" xfId="0" applyFont="1" applyFill="1" applyBorder="1" applyAlignment="1" applyProtection="1">
      <alignment horizontal="center"/>
      <protection hidden="1"/>
    </xf>
    <xf numFmtId="0" fontId="4" fillId="11" borderId="22" xfId="0" applyFont="1" applyFill="1" applyBorder="1" applyAlignment="1" applyProtection="1">
      <alignment horizontal="center"/>
      <protection hidden="1"/>
    </xf>
    <xf numFmtId="0" fontId="4" fillId="11" borderId="2" xfId="0" applyFont="1" applyFill="1" applyBorder="1" applyAlignment="1" applyProtection="1">
      <alignment horizontal="center"/>
      <protection hidden="1"/>
    </xf>
    <xf numFmtId="0" fontId="4" fillId="11" borderId="43" xfId="0" applyFont="1" applyFill="1" applyBorder="1" applyAlignment="1" applyProtection="1">
      <alignment horizontal="center"/>
      <protection hidden="1"/>
    </xf>
    <xf numFmtId="0" fontId="4" fillId="11" borderId="3"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4" fillId="7" borderId="2" xfId="0" applyFont="1" applyFill="1" applyBorder="1" applyAlignment="1" applyProtection="1">
      <alignment horizontal="center"/>
      <protection hidden="1"/>
    </xf>
    <xf numFmtId="0" fontId="4" fillId="7" borderId="43" xfId="0" applyFont="1" applyFill="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44" xfId="0" applyFont="1" applyBorder="1" applyAlignment="1" applyProtection="1">
      <alignment horizontal="center"/>
      <protection hidden="1"/>
    </xf>
    <xf numFmtId="165" fontId="4" fillId="25" borderId="61" xfId="0" applyNumberFormat="1" applyFont="1" applyFill="1" applyBorder="1" applyAlignment="1" applyProtection="1">
      <alignment horizontal="center" vertical="center"/>
      <protection hidden="1"/>
    </xf>
    <xf numFmtId="165" fontId="4" fillId="25" borderId="20" xfId="0" applyNumberFormat="1" applyFont="1" applyFill="1" applyBorder="1" applyAlignment="1" applyProtection="1">
      <alignment horizontal="center" vertical="center"/>
      <protection hidden="1"/>
    </xf>
    <xf numFmtId="0" fontId="3" fillId="0" borderId="24" xfId="0" applyFont="1" applyBorder="1" applyAlignment="1" applyProtection="1">
      <alignment horizontal="right"/>
      <protection hidden="1"/>
    </xf>
    <xf numFmtId="0" fontId="3" fillId="0" borderId="25" xfId="0" applyFont="1" applyBorder="1" applyAlignment="1" applyProtection="1">
      <alignment horizontal="right"/>
      <protection hidden="1"/>
    </xf>
    <xf numFmtId="0" fontId="3" fillId="0" borderId="26" xfId="0" applyFont="1" applyBorder="1" applyAlignment="1" applyProtection="1">
      <alignment horizontal="right"/>
      <protection hidden="1"/>
    </xf>
    <xf numFmtId="0" fontId="3" fillId="0" borderId="27"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28" xfId="0" applyFont="1" applyBorder="1" applyAlignment="1" applyProtection="1">
      <alignment horizontal="right"/>
      <protection hidden="1"/>
    </xf>
    <xf numFmtId="0" fontId="3" fillId="0" borderId="29" xfId="0" applyFont="1" applyBorder="1" applyAlignment="1" applyProtection="1">
      <alignment horizontal="right"/>
      <protection hidden="1"/>
    </xf>
    <xf numFmtId="0" fontId="3" fillId="0" borderId="17" xfId="0" applyFont="1" applyBorder="1" applyAlignment="1" applyProtection="1">
      <alignment horizontal="right"/>
      <protection hidden="1"/>
    </xf>
    <xf numFmtId="0" fontId="3" fillId="0" borderId="30" xfId="0" applyFont="1" applyBorder="1" applyAlignment="1" applyProtection="1">
      <alignment horizontal="right"/>
      <protection hidden="1"/>
    </xf>
    <xf numFmtId="0" fontId="4" fillId="12" borderId="42" xfId="0" applyFont="1" applyFill="1" applyBorder="1" applyAlignment="1" applyProtection="1">
      <alignment horizontal="center" vertical="center"/>
      <protection hidden="1"/>
    </xf>
    <xf numFmtId="0" fontId="4" fillId="12" borderId="60" xfId="0" applyFont="1" applyFill="1" applyBorder="1" applyAlignment="1" applyProtection="1">
      <alignment horizontal="center" vertical="center"/>
      <protection hidden="1"/>
    </xf>
    <xf numFmtId="0" fontId="4" fillId="26" borderId="48" xfId="0" applyFont="1" applyFill="1" applyBorder="1" applyAlignment="1">
      <alignment horizontal="center"/>
    </xf>
    <xf numFmtId="0" fontId="4" fillId="26" borderId="49" xfId="0" applyFont="1" applyFill="1" applyBorder="1" applyAlignment="1">
      <alignment horizontal="center"/>
    </xf>
    <xf numFmtId="0" fontId="4" fillId="31" borderId="44" xfId="0" applyFont="1" applyFill="1" applyBorder="1" applyAlignment="1">
      <alignment horizontal="center"/>
    </xf>
    <xf numFmtId="0" fontId="4" fillId="31" borderId="7" xfId="0" applyFont="1" applyFill="1" applyBorder="1" applyAlignment="1">
      <alignment horizontal="center"/>
    </xf>
    <xf numFmtId="0" fontId="4" fillId="24" borderId="36" xfId="0" applyFont="1" applyFill="1" applyBorder="1" applyAlignment="1">
      <alignment horizontal="center"/>
    </xf>
    <xf numFmtId="0" fontId="4" fillId="24" borderId="61" xfId="0" applyFont="1" applyFill="1" applyBorder="1" applyAlignment="1">
      <alignment horizontal="center"/>
    </xf>
    <xf numFmtId="0" fontId="4" fillId="36" borderId="51" xfId="0" applyFont="1" applyFill="1" applyBorder="1" applyAlignment="1" applyProtection="1">
      <alignment horizontal="center"/>
      <protection hidden="1"/>
    </xf>
    <xf numFmtId="0" fontId="4" fillId="36" borderId="11" xfId="0" applyFont="1" applyFill="1" applyBorder="1" applyAlignment="1" applyProtection="1">
      <alignment horizontal="center"/>
      <protection hidden="1"/>
    </xf>
    <xf numFmtId="0" fontId="4" fillId="36" borderId="19" xfId="0" applyFont="1" applyFill="1" applyBorder="1" applyAlignment="1" applyProtection="1">
      <alignment horizontal="center"/>
      <protection hidden="1"/>
    </xf>
    <xf numFmtId="0" fontId="4" fillId="36" borderId="20" xfId="0" applyFont="1" applyFill="1" applyBorder="1" applyAlignment="1" applyProtection="1">
      <alignment horizontal="center"/>
      <protection hidden="1"/>
    </xf>
    <xf numFmtId="0" fontId="11" fillId="38" borderId="43" xfId="0" applyFont="1" applyFill="1" applyBorder="1" applyAlignment="1">
      <alignment horizontal="center" vertical="center" wrapText="1"/>
    </xf>
    <xf numFmtId="0" fontId="11" fillId="38" borderId="3" xfId="0" applyFont="1" applyFill="1" applyBorder="1" applyAlignment="1">
      <alignment horizontal="center" vertical="center" wrapText="1"/>
    </xf>
    <xf numFmtId="0" fontId="11" fillId="38" borderId="44" xfId="0" applyFont="1" applyFill="1" applyBorder="1" applyAlignment="1">
      <alignment horizontal="center" vertical="center" wrapText="1"/>
    </xf>
    <xf numFmtId="0" fontId="11" fillId="38" borderId="7" xfId="0" applyFont="1" applyFill="1" applyBorder="1" applyAlignment="1">
      <alignment horizontal="center" vertical="center" wrapText="1"/>
    </xf>
    <xf numFmtId="0" fontId="11" fillId="38" borderId="2" xfId="0" applyFont="1" applyFill="1" applyBorder="1" applyAlignment="1">
      <alignment horizontal="center" vertical="center" wrapText="1"/>
    </xf>
    <xf numFmtId="0" fontId="11" fillId="38" borderId="6" xfId="0" applyFont="1" applyFill="1" applyBorder="1" applyAlignment="1">
      <alignment horizontal="center" vertical="center" wrapText="1"/>
    </xf>
    <xf numFmtId="0" fontId="20" fillId="28" borderId="41" xfId="0" applyFont="1" applyFill="1" applyBorder="1" applyAlignment="1">
      <alignment horizontal="right" vertical="center" shrinkToFit="1" readingOrder="2"/>
    </xf>
    <xf numFmtId="0" fontId="20" fillId="28" borderId="9" xfId="0" applyFont="1" applyFill="1" applyBorder="1" applyAlignment="1">
      <alignment horizontal="right" vertical="center" shrinkToFit="1" readingOrder="2"/>
    </xf>
    <xf numFmtId="0" fontId="20" fillId="28" borderId="45" xfId="0" applyFont="1" applyFill="1" applyBorder="1" applyAlignment="1">
      <alignment horizontal="right" vertical="center" shrinkToFit="1" readingOrder="2"/>
    </xf>
    <xf numFmtId="0" fontId="20" fillId="28" borderId="68" xfId="0" applyFont="1" applyFill="1" applyBorder="1" applyAlignment="1">
      <alignment horizontal="right" vertical="center" shrinkToFit="1" readingOrder="2"/>
    </xf>
    <xf numFmtId="0" fontId="20" fillId="28" borderId="57" xfId="0" applyFont="1" applyFill="1" applyBorder="1" applyAlignment="1">
      <alignment horizontal="right" vertical="center" shrinkToFit="1" readingOrder="2"/>
    </xf>
    <xf numFmtId="0" fontId="39" fillId="0" borderId="25" xfId="0" applyFont="1" applyBorder="1" applyAlignment="1">
      <alignment horizontal="center" vertical="center" shrinkToFit="1" readingOrder="2"/>
    </xf>
    <xf numFmtId="0" fontId="10" fillId="0" borderId="25" xfId="1" applyBorder="1" applyAlignment="1">
      <alignment horizontal="center" vertical="center" shrinkToFit="1" readingOrder="2"/>
    </xf>
    <xf numFmtId="0" fontId="38" fillId="0" borderId="25" xfId="0" applyFont="1" applyBorder="1" applyAlignment="1">
      <alignment horizontal="center" vertical="center" shrinkToFit="1" readingOrder="2"/>
    </xf>
    <xf numFmtId="0" fontId="20" fillId="28" borderId="0" xfId="0" applyFont="1" applyFill="1" applyAlignment="1">
      <alignment horizontal="left" shrinkToFit="1" readingOrder="2"/>
    </xf>
    <xf numFmtId="0" fontId="20" fillId="28" borderId="17" xfId="0" applyFont="1" applyFill="1" applyBorder="1" applyAlignment="1">
      <alignment horizontal="left" shrinkToFit="1" readingOrder="2"/>
    </xf>
    <xf numFmtId="0" fontId="37" fillId="28" borderId="0" xfId="0" applyFont="1" applyFill="1" applyAlignment="1">
      <alignment horizontal="center" vertical="center" shrinkToFit="1" readingOrder="2"/>
    </xf>
    <xf numFmtId="0" fontId="4" fillId="28" borderId="0" xfId="0" applyFont="1" applyFill="1" applyAlignment="1">
      <alignment horizontal="center" vertical="center" shrinkToFit="1" readingOrder="2"/>
    </xf>
    <xf numFmtId="0" fontId="37" fillId="28" borderId="17" xfId="0" applyFont="1" applyFill="1" applyBorder="1" applyAlignment="1">
      <alignment horizontal="center" vertical="center" shrinkToFit="1" readingOrder="2"/>
    </xf>
    <xf numFmtId="0" fontId="20" fillId="28" borderId="0" xfId="0" applyFont="1" applyFill="1" applyAlignment="1">
      <alignment horizontal="center" vertical="center" shrinkToFit="1" readingOrder="2"/>
    </xf>
    <xf numFmtId="0" fontId="20" fillId="28" borderId="10" xfId="0" applyFont="1" applyFill="1" applyBorder="1" applyAlignment="1">
      <alignment horizontal="right" vertical="center" shrinkToFit="1" readingOrder="2"/>
    </xf>
    <xf numFmtId="0" fontId="20" fillId="28" borderId="40" xfId="0" applyFont="1" applyFill="1" applyBorder="1" applyAlignment="1">
      <alignment horizontal="right" vertical="center" shrinkToFit="1" readingOrder="2"/>
    </xf>
    <xf numFmtId="0" fontId="20" fillId="28" borderId="11" xfId="0" applyFont="1" applyFill="1" applyBorder="1" applyAlignment="1">
      <alignment horizontal="right" vertical="center" shrinkToFit="1" readingOrder="2"/>
    </xf>
    <xf numFmtId="0" fontId="20" fillId="28" borderId="47" xfId="0" applyFont="1" applyFill="1" applyBorder="1" applyAlignment="1">
      <alignment horizontal="right" vertical="center" shrinkToFit="1" readingOrder="2"/>
    </xf>
    <xf numFmtId="0" fontId="20" fillId="28" borderId="53" xfId="0" applyFont="1" applyFill="1" applyBorder="1" applyAlignment="1">
      <alignment horizontal="right" vertical="center" shrinkToFit="1" readingOrder="2"/>
    </xf>
    <xf numFmtId="0" fontId="20" fillId="28" borderId="64" xfId="0" applyFont="1" applyFill="1" applyBorder="1" applyAlignment="1">
      <alignment horizontal="right" vertical="center" shrinkToFit="1" readingOrder="2"/>
    </xf>
    <xf numFmtId="0" fontId="20" fillId="28" borderId="1" xfId="0" applyFont="1" applyFill="1" applyBorder="1" applyAlignment="1">
      <alignment horizontal="right" vertical="center" shrinkToFit="1" readingOrder="2"/>
    </xf>
    <xf numFmtId="0" fontId="20" fillId="28" borderId="5" xfId="0" applyFont="1" applyFill="1" applyBorder="1" applyAlignment="1">
      <alignment horizontal="right" vertical="center" shrinkToFit="1" readingOrder="2"/>
    </xf>
    <xf numFmtId="0" fontId="20" fillId="28" borderId="51" xfId="0" applyFont="1" applyFill="1" applyBorder="1" applyAlignment="1">
      <alignment horizontal="right" vertical="center" shrinkToFit="1" readingOrder="2"/>
    </xf>
    <xf numFmtId="0" fontId="20" fillId="28" borderId="59" xfId="0" applyFont="1" applyFill="1" applyBorder="1" applyAlignment="1">
      <alignment horizontal="right" vertical="center" shrinkToFit="1" readingOrder="2"/>
    </xf>
    <xf numFmtId="0" fontId="20" fillId="28" borderId="40" xfId="0" applyFont="1" applyFill="1" applyBorder="1" applyAlignment="1">
      <alignment horizontal="left" vertical="center" shrinkToFit="1" readingOrder="2"/>
    </xf>
    <xf numFmtId="0" fontId="20" fillId="28" borderId="8" xfId="0" applyFont="1" applyFill="1" applyBorder="1" applyAlignment="1">
      <alignment horizontal="right" vertical="center" shrinkToFit="1" readingOrder="2"/>
    </xf>
    <xf numFmtId="0" fontId="20" fillId="28" borderId="69" xfId="0" applyFont="1" applyFill="1" applyBorder="1" applyAlignment="1">
      <alignment horizontal="right" vertical="center" shrinkToFit="1" readingOrder="2"/>
    </xf>
    <xf numFmtId="0" fontId="20" fillId="28" borderId="72" xfId="0" applyFont="1" applyFill="1" applyBorder="1" applyAlignment="1">
      <alignment horizontal="right" vertical="center" shrinkToFit="1" readingOrder="2"/>
    </xf>
    <xf numFmtId="0" fontId="20" fillId="28" borderId="27" xfId="0" applyFont="1" applyFill="1" applyBorder="1" applyAlignment="1">
      <alignment horizontal="right" vertical="center" shrinkToFit="1" readingOrder="2"/>
    </xf>
    <xf numFmtId="0" fontId="20" fillId="28" borderId="0" xfId="0" applyFont="1" applyFill="1" applyBorder="1" applyAlignment="1">
      <alignment horizontal="right" vertical="center" shrinkToFit="1" readingOrder="2"/>
    </xf>
    <xf numFmtId="0" fontId="20" fillId="28" borderId="70" xfId="0" applyFont="1" applyFill="1" applyBorder="1" applyAlignment="1">
      <alignment horizontal="right" vertical="center" shrinkToFit="1" readingOrder="2"/>
    </xf>
    <xf numFmtId="0" fontId="20" fillId="28" borderId="67" xfId="0" applyFont="1" applyFill="1" applyBorder="1" applyAlignment="1">
      <alignment horizontal="right" vertical="center" shrinkToFit="1" readingOrder="2"/>
    </xf>
    <xf numFmtId="0" fontId="20" fillId="28" borderId="71" xfId="0" applyFont="1" applyFill="1" applyBorder="1" applyAlignment="1">
      <alignment horizontal="right" vertical="center" shrinkToFit="1" readingOrder="2"/>
    </xf>
    <xf numFmtId="0" fontId="20" fillId="28" borderId="13" xfId="0" applyFont="1" applyFill="1" applyBorder="1" applyAlignment="1">
      <alignment vertical="center" shrinkToFit="1" readingOrder="2"/>
    </xf>
    <xf numFmtId="0" fontId="20" fillId="28" borderId="62" xfId="0" applyFont="1" applyFill="1" applyBorder="1" applyAlignment="1">
      <alignment vertical="center" shrinkToFit="1" readingOrder="2"/>
    </xf>
    <xf numFmtId="0" fontId="20" fillId="28" borderId="15" xfId="0" applyFont="1" applyFill="1" applyBorder="1" applyAlignment="1">
      <alignment vertical="center" shrinkToFit="1" readingOrder="2"/>
    </xf>
    <xf numFmtId="0" fontId="20" fillId="28" borderId="10" xfId="0" applyFont="1" applyFill="1" applyBorder="1" applyAlignment="1">
      <alignment vertical="center" shrinkToFit="1" readingOrder="2"/>
    </xf>
    <xf numFmtId="0" fontId="20" fillId="28" borderId="11" xfId="0" applyFont="1" applyFill="1" applyBorder="1" applyAlignment="1">
      <alignment vertical="center" shrinkToFit="1" readingOrder="2"/>
    </xf>
    <xf numFmtId="0" fontId="20" fillId="28" borderId="51" xfId="0" applyFont="1" applyFill="1" applyBorder="1" applyAlignment="1">
      <alignment vertical="center" shrinkToFit="1" readingOrder="2"/>
    </xf>
    <xf numFmtId="0" fontId="20" fillId="28" borderId="40" xfId="0" applyFont="1" applyFill="1" applyBorder="1" applyAlignment="1">
      <alignment vertical="center" shrinkToFit="1" readingOrder="2"/>
    </xf>
    <xf numFmtId="0" fontId="20" fillId="28" borderId="42" xfId="0" applyFont="1" applyFill="1" applyBorder="1" applyAlignment="1">
      <alignment horizontal="right" vertical="center" shrinkToFit="1" readingOrder="2"/>
    </xf>
    <xf numFmtId="0" fontId="20" fillId="28" borderId="17" xfId="0" applyFont="1" applyFill="1" applyBorder="1" applyAlignment="1">
      <alignment horizontal="right" vertical="center" shrinkToFit="1" readingOrder="2"/>
    </xf>
    <xf numFmtId="0" fontId="20" fillId="28" borderId="30" xfId="0" applyFont="1" applyFill="1" applyBorder="1" applyAlignment="1">
      <alignment horizontal="right" vertical="center" shrinkToFit="1" readingOrder="2"/>
    </xf>
    <xf numFmtId="0" fontId="37" fillId="28" borderId="0" xfId="0" applyFont="1" applyFill="1" applyAlignment="1">
      <alignment horizontal="left" shrinkToFit="1" readingOrder="2"/>
    </xf>
    <xf numFmtId="2" fontId="20" fillId="28" borderId="27" xfId="0" applyNumberFormat="1" applyFont="1" applyFill="1" applyBorder="1" applyAlignment="1">
      <alignment horizontal="right" vertical="top" wrapText="1" shrinkToFit="1" readingOrder="2"/>
    </xf>
    <xf numFmtId="2" fontId="20" fillId="28" borderId="28" xfId="0" applyNumberFormat="1" applyFont="1" applyFill="1" applyBorder="1" applyAlignment="1">
      <alignment horizontal="right" vertical="top" wrapText="1" shrinkToFit="1" readingOrder="2"/>
    </xf>
    <xf numFmtId="0" fontId="20" fillId="28" borderId="52" xfId="0" applyFont="1" applyFill="1" applyBorder="1" applyAlignment="1">
      <alignment horizontal="right" vertical="center" shrinkToFit="1" readingOrder="2"/>
    </xf>
    <xf numFmtId="0" fontId="20" fillId="28" borderId="12" xfId="0" applyFont="1" applyFill="1" applyBorder="1" applyAlignment="1">
      <alignment horizontal="right" vertical="center" shrinkToFit="1" readingOrder="2"/>
    </xf>
    <xf numFmtId="0" fontId="20" fillId="28" borderId="29" xfId="0" applyFont="1" applyFill="1" applyBorder="1" applyAlignment="1">
      <alignment horizontal="right" vertical="center" shrinkToFit="1" readingOrder="2"/>
    </xf>
    <xf numFmtId="0" fontId="20" fillId="28" borderId="24" xfId="0" applyFont="1" applyFill="1" applyBorder="1" applyAlignment="1">
      <alignment horizontal="right" vertical="center" shrinkToFit="1" readingOrder="2"/>
    </xf>
    <xf numFmtId="0" fontId="20" fillId="28" borderId="25" xfId="0" applyFont="1" applyFill="1" applyBorder="1" applyAlignment="1">
      <alignment horizontal="right" vertical="center" shrinkToFit="1" readingOrder="2"/>
    </xf>
    <xf numFmtId="0" fontId="20" fillId="28" borderId="25" xfId="0" applyFont="1" applyFill="1" applyBorder="1" applyAlignment="1">
      <alignment horizontal="center" vertical="center" shrinkToFit="1" readingOrder="2"/>
    </xf>
    <xf numFmtId="0" fontId="20" fillId="28" borderId="26" xfId="0" applyFont="1" applyFill="1" applyBorder="1" applyAlignment="1">
      <alignment horizontal="center" vertical="center" shrinkToFit="1" readingOrder="2"/>
    </xf>
    <xf numFmtId="0" fontId="20" fillId="28" borderId="66" xfId="0" applyFont="1" applyFill="1" applyBorder="1" applyAlignment="1">
      <alignment horizontal="right" vertical="center" shrinkToFit="1" readingOrder="2"/>
    </xf>
    <xf numFmtId="0" fontId="20" fillId="28" borderId="52" xfId="0" applyFont="1" applyFill="1" applyBorder="1" applyAlignment="1">
      <alignment vertical="center" shrinkToFit="1" readingOrder="2"/>
    </xf>
    <xf numFmtId="0" fontId="20" fillId="28" borderId="69" xfId="0" applyFont="1" applyFill="1" applyBorder="1" applyAlignment="1">
      <alignment vertical="center" shrinkToFit="1" readingOrder="2"/>
    </xf>
    <xf numFmtId="0" fontId="20" fillId="28" borderId="12" xfId="0" applyFont="1" applyFill="1" applyBorder="1" applyAlignment="1">
      <alignment vertical="center" shrinkToFit="1" readingOrder="2"/>
    </xf>
    <xf numFmtId="0" fontId="20" fillId="28" borderId="28" xfId="0" applyFont="1" applyFill="1" applyBorder="1" applyAlignment="1">
      <alignment horizontal="right" vertical="center" shrinkToFit="1" readingOrder="2"/>
    </xf>
    <xf numFmtId="0" fontId="20" fillId="28" borderId="27" xfId="0" applyFont="1" applyFill="1" applyBorder="1" applyAlignment="1">
      <alignment vertical="center" shrinkToFit="1" readingOrder="2"/>
    </xf>
    <xf numFmtId="0" fontId="20" fillId="28" borderId="0" xfId="0" applyFont="1" applyFill="1" applyBorder="1" applyAlignment="1">
      <alignment vertical="center" shrinkToFit="1" readingOrder="2"/>
    </xf>
    <xf numFmtId="0" fontId="20" fillId="28" borderId="28" xfId="0" applyFont="1" applyFill="1" applyBorder="1" applyAlignment="1">
      <alignment vertical="center" shrinkToFit="1" readingOrder="2"/>
    </xf>
    <xf numFmtId="0" fontId="14" fillId="13" borderId="1" xfId="0" applyFont="1" applyFill="1" applyBorder="1" applyAlignment="1" applyProtection="1">
      <alignment horizontal="center" shrinkToFit="1"/>
      <protection hidden="1"/>
    </xf>
    <xf numFmtId="0" fontId="20" fillId="0" borderId="1" xfId="0" applyFont="1" applyBorder="1" applyAlignment="1">
      <alignment horizontal="center" vertical="center"/>
    </xf>
    <xf numFmtId="0" fontId="20" fillId="0" borderId="10" xfId="0" applyFont="1" applyBorder="1" applyAlignment="1">
      <alignment horizontal="center" vertical="center"/>
    </xf>
    <xf numFmtId="3" fontId="55" fillId="39" borderId="10" xfId="0" applyNumberFormat="1" applyFont="1" applyFill="1" applyBorder="1" applyAlignment="1" applyProtection="1">
      <alignment horizontal="center" vertical="center" shrinkToFit="1" readingOrder="2"/>
      <protection hidden="1"/>
    </xf>
    <xf numFmtId="3" fontId="55" fillId="39" borderId="59" xfId="0" applyNumberFormat="1" applyFont="1" applyFill="1" applyBorder="1" applyAlignment="1" applyProtection="1">
      <alignment horizontal="center" vertical="center" shrinkToFit="1" readingOrder="2"/>
      <protection hidden="1"/>
    </xf>
    <xf numFmtId="0" fontId="0" fillId="0" borderId="77" xfId="0" applyBorder="1" applyAlignment="1">
      <alignment horizontal="center" vertical="center"/>
    </xf>
    <xf numFmtId="0" fontId="56" fillId="28" borderId="0" xfId="0" applyFont="1" applyFill="1" applyBorder="1" applyAlignment="1" applyProtection="1">
      <alignment horizontal="center" shrinkToFit="1" readingOrder="2"/>
      <protection hidden="1"/>
    </xf>
    <xf numFmtId="0" fontId="56" fillId="28" borderId="0" xfId="0" applyFont="1" applyFill="1" applyAlignment="1" applyProtection="1">
      <alignment horizontal="center" shrinkToFit="1" readingOrder="2"/>
      <protection hidden="1"/>
    </xf>
    <xf numFmtId="0" fontId="7" fillId="28" borderId="0" xfId="0" applyFont="1" applyFill="1" applyBorder="1" applyAlignment="1" applyProtection="1">
      <alignment horizontal="center" vertical="center" shrinkToFit="1" readingOrder="2"/>
      <protection hidden="1"/>
    </xf>
    <xf numFmtId="0" fontId="7" fillId="28" borderId="0" xfId="0" applyFont="1" applyFill="1" applyAlignment="1" applyProtection="1">
      <alignment horizontal="center" vertical="center" shrinkToFit="1" readingOrder="2"/>
      <protection hidden="1"/>
    </xf>
    <xf numFmtId="0" fontId="6" fillId="28" borderId="0" xfId="0" applyFont="1" applyFill="1" applyAlignment="1" applyProtection="1">
      <alignment horizontal="center" vertical="center" shrinkToFit="1" readingOrder="2"/>
      <protection hidden="1"/>
    </xf>
    <xf numFmtId="0" fontId="56" fillId="31" borderId="2" xfId="0" applyFont="1" applyFill="1" applyBorder="1" applyAlignment="1" applyProtection="1">
      <alignment horizontal="center" vertical="center" shrinkToFit="1" readingOrder="2"/>
      <protection hidden="1"/>
    </xf>
    <xf numFmtId="0" fontId="56" fillId="31" borderId="43" xfId="0" applyFont="1" applyFill="1" applyBorder="1" applyAlignment="1" applyProtection="1">
      <alignment horizontal="center" vertical="center" shrinkToFit="1" readingOrder="2"/>
      <protection hidden="1"/>
    </xf>
    <xf numFmtId="0" fontId="56" fillId="31" borderId="3" xfId="0" applyFont="1" applyFill="1" applyBorder="1" applyAlignment="1" applyProtection="1">
      <alignment horizontal="center" vertical="center" shrinkToFit="1" readingOrder="2"/>
      <protection hidden="1"/>
    </xf>
    <xf numFmtId="3" fontId="7" fillId="39" borderId="6" xfId="0" applyNumberFormat="1" applyFont="1" applyFill="1" applyBorder="1" applyAlignment="1" applyProtection="1">
      <alignment horizontal="center" vertical="center" shrinkToFit="1" readingOrder="2"/>
      <protection hidden="1"/>
    </xf>
    <xf numFmtId="3" fontId="7" fillId="39" borderId="44" xfId="0" applyNumberFormat="1" applyFont="1" applyFill="1" applyBorder="1" applyAlignment="1" applyProtection="1">
      <alignment horizontal="center" vertical="center" shrinkToFit="1" readingOrder="2"/>
      <protection hidden="1"/>
    </xf>
    <xf numFmtId="3" fontId="7" fillId="39" borderId="7" xfId="0" applyNumberFormat="1" applyFont="1" applyFill="1" applyBorder="1" applyAlignment="1" applyProtection="1">
      <alignment horizontal="center" vertical="center" shrinkToFit="1" readingOrder="2"/>
      <protection hidden="1"/>
    </xf>
    <xf numFmtId="0" fontId="7" fillId="10" borderId="19" xfId="0" applyFont="1" applyFill="1" applyBorder="1" applyAlignment="1" applyProtection="1">
      <alignment horizontal="center" vertical="center" shrinkToFit="1" readingOrder="2"/>
      <protection hidden="1"/>
    </xf>
    <xf numFmtId="0" fontId="7" fillId="10" borderId="20" xfId="0" applyFont="1" applyFill="1" applyBorder="1" applyAlignment="1" applyProtection="1">
      <alignment horizontal="center" vertical="center" shrinkToFit="1" readingOrder="2"/>
      <protection hidden="1"/>
    </xf>
    <xf numFmtId="0" fontId="7" fillId="2" borderId="20" xfId="0" applyFont="1" applyFill="1" applyBorder="1" applyAlignment="1" applyProtection="1">
      <alignment horizontal="center" vertical="center" shrinkToFit="1" readingOrder="2"/>
      <protection locked="0" hidden="1"/>
    </xf>
    <xf numFmtId="0" fontId="7" fillId="2" borderId="21" xfId="0" applyFont="1" applyFill="1" applyBorder="1" applyAlignment="1" applyProtection="1">
      <alignment horizontal="center" vertical="center" shrinkToFit="1" readingOrder="2"/>
      <protection locked="0" hidden="1"/>
    </xf>
    <xf numFmtId="0" fontId="18" fillId="28" borderId="0" xfId="0" applyFont="1" applyFill="1" applyBorder="1" applyAlignment="1" applyProtection="1">
      <alignment horizontal="center" vertical="center" shrinkToFit="1"/>
      <protection hidden="1"/>
    </xf>
    <xf numFmtId="0" fontId="4" fillId="7" borderId="19" xfId="0" applyFont="1" applyFill="1" applyBorder="1" applyAlignment="1" applyProtection="1">
      <alignment horizontal="center"/>
      <protection hidden="1"/>
    </xf>
    <xf numFmtId="0" fontId="4" fillId="7" borderId="20" xfId="0"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7" fillId="10" borderId="77" xfId="0" applyFont="1" applyFill="1" applyBorder="1" applyAlignment="1" applyProtection="1">
      <alignment horizontal="center" vertical="center" shrinkToFit="1" readingOrder="2"/>
      <protection hidden="1"/>
    </xf>
    <xf numFmtId="0" fontId="56" fillId="31" borderId="21" xfId="0" applyFont="1" applyFill="1" applyBorder="1" applyAlignment="1" applyProtection="1">
      <alignment horizontal="center" vertical="center" shrinkToFit="1" readingOrder="2"/>
      <protection hidden="1"/>
    </xf>
    <xf numFmtId="3" fontId="55" fillId="39" borderId="18" xfId="0" applyNumberFormat="1" applyFont="1" applyFill="1" applyBorder="1" applyAlignment="1" applyProtection="1">
      <alignment horizontal="center" vertical="center" shrinkToFit="1" readingOrder="2"/>
      <protection hidden="1"/>
    </xf>
    <xf numFmtId="3" fontId="55" fillId="39" borderId="16" xfId="0" applyNumberFormat="1" applyFont="1" applyFill="1" applyBorder="1" applyAlignment="1" applyProtection="1">
      <alignment horizontal="center" vertical="center" shrinkToFit="1" readingOrder="2"/>
      <protection hidden="1"/>
    </xf>
    <xf numFmtId="3" fontId="55" fillId="39" borderId="1" xfId="0" applyNumberFormat="1" applyFont="1" applyFill="1" applyBorder="1" applyAlignment="1" applyProtection="1">
      <alignment horizontal="center" vertical="center" shrinkToFit="1" readingOrder="2"/>
      <protection hidden="1"/>
    </xf>
    <xf numFmtId="3" fontId="55" fillId="39" borderId="5" xfId="0" applyNumberFormat="1" applyFont="1" applyFill="1" applyBorder="1" applyAlignment="1" applyProtection="1">
      <alignment horizontal="center" vertical="center" shrinkToFit="1" readingOrder="2"/>
      <protection hidden="1"/>
    </xf>
    <xf numFmtId="3" fontId="55" fillId="39" borderId="22" xfId="0" applyNumberFormat="1" applyFont="1" applyFill="1" applyBorder="1" applyAlignment="1" applyProtection="1">
      <alignment horizontal="center" vertical="center" shrinkToFit="1" readingOrder="2"/>
      <protection hidden="1"/>
    </xf>
    <xf numFmtId="3" fontId="55" fillId="39" borderId="14" xfId="0" applyNumberFormat="1" applyFont="1" applyFill="1" applyBorder="1" applyAlignment="1" applyProtection="1">
      <alignment horizontal="center" vertical="center" shrinkToFit="1" readingOrder="2"/>
      <protection hidden="1"/>
    </xf>
    <xf numFmtId="3" fontId="7" fillId="39" borderId="20" xfId="0" applyNumberFormat="1" applyFont="1" applyFill="1" applyBorder="1" applyAlignment="1" applyProtection="1">
      <alignment horizontal="center" vertical="center" shrinkToFit="1" readingOrder="2"/>
      <protection hidden="1"/>
    </xf>
    <xf numFmtId="3" fontId="7" fillId="39" borderId="21" xfId="0" applyNumberFormat="1" applyFont="1" applyFill="1" applyBorder="1" applyAlignment="1" applyProtection="1">
      <alignment horizontal="center" vertical="center" shrinkToFit="1" readingOrder="2"/>
      <protection hidden="1"/>
    </xf>
    <xf numFmtId="0" fontId="0" fillId="0" borderId="27" xfId="0" applyBorder="1" applyAlignment="1" applyProtection="1">
      <alignment horizontal="center"/>
      <protection hidden="1"/>
    </xf>
    <xf numFmtId="0" fontId="0" fillId="0" borderId="0" xfId="0" applyBorder="1" applyAlignment="1" applyProtection="1">
      <alignment horizontal="center"/>
      <protection hidden="1"/>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3" xfId="0" applyBorder="1" applyAlignment="1" applyProtection="1">
      <alignment horizontal="center"/>
      <protection locked="0"/>
    </xf>
    <xf numFmtId="0" fontId="10" fillId="0" borderId="25" xfId="1" applyBorder="1" applyAlignment="1" applyProtection="1">
      <alignment horizontal="center"/>
      <protection hidden="1"/>
    </xf>
    <xf numFmtId="0" fontId="21" fillId="0" borderId="24"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12" fillId="28" borderId="29" xfId="0" applyFont="1" applyFill="1" applyBorder="1" applyAlignment="1" applyProtection="1">
      <alignment horizontal="center" vertical="center"/>
      <protection hidden="1"/>
    </xf>
    <xf numFmtId="0" fontId="12" fillId="28" borderId="30" xfId="0" applyFont="1" applyFill="1" applyBorder="1" applyAlignment="1" applyProtection="1">
      <alignment horizontal="center" vertical="center"/>
      <protection hidden="1"/>
    </xf>
    <xf numFmtId="0" fontId="0" fillId="0" borderId="0" xfId="0" applyAlignment="1" applyProtection="1">
      <alignment horizontal="center"/>
      <protection locked="0"/>
    </xf>
    <xf numFmtId="0" fontId="0" fillId="0" borderId="17" xfId="0" applyBorder="1" applyAlignment="1" applyProtection="1">
      <alignment horizontal="center"/>
      <protection locked="0"/>
    </xf>
    <xf numFmtId="0" fontId="12" fillId="28" borderId="27" xfId="0" applyFont="1" applyFill="1" applyBorder="1" applyAlignment="1" applyProtection="1">
      <alignment horizontal="center" vertical="center"/>
      <protection hidden="1"/>
    </xf>
    <xf numFmtId="0" fontId="12" fillId="28" borderId="28" xfId="0" applyFont="1" applyFill="1" applyBorder="1" applyAlignment="1" applyProtection="1">
      <alignment horizontal="center" vertical="center"/>
      <protection hidden="1"/>
    </xf>
    <xf numFmtId="0" fontId="5" fillId="0" borderId="27" xfId="0" applyFont="1" applyBorder="1" applyAlignment="1" applyProtection="1">
      <alignment horizontal="right"/>
      <protection hidden="1"/>
    </xf>
    <xf numFmtId="0" fontId="5" fillId="0" borderId="28" xfId="0" applyFont="1" applyBorder="1" applyAlignment="1" applyProtection="1">
      <alignment horizontal="right"/>
      <protection hidden="1"/>
    </xf>
    <xf numFmtId="0" fontId="23" fillId="0" borderId="29" xfId="1" applyFont="1" applyBorder="1" applyAlignment="1" applyProtection="1">
      <alignment horizontal="center"/>
      <protection hidden="1"/>
    </xf>
    <xf numFmtId="0" fontId="18" fillId="0" borderId="30" xfId="0" applyFont="1" applyBorder="1" applyAlignment="1" applyProtection="1">
      <alignment horizontal="center"/>
      <protection hidden="1"/>
    </xf>
    <xf numFmtId="0" fontId="0" fillId="0" borderId="27" xfId="0" applyBorder="1" applyAlignment="1">
      <alignment horizontal="center"/>
    </xf>
    <xf numFmtId="0" fontId="0" fillId="0" borderId="28" xfId="0" applyBorder="1" applyAlignment="1">
      <alignment horizontal="center"/>
    </xf>
    <xf numFmtId="0" fontId="36" fillId="2" borderId="24" xfId="0" applyFont="1" applyFill="1" applyBorder="1" applyAlignment="1" applyProtection="1">
      <alignment horizontal="center" vertical="center" wrapText="1"/>
      <protection hidden="1"/>
    </xf>
    <xf numFmtId="0" fontId="36" fillId="2" borderId="25" xfId="0" applyFont="1" applyFill="1" applyBorder="1" applyAlignment="1" applyProtection="1">
      <alignment horizontal="center" vertical="center" wrapText="1"/>
      <protection hidden="1"/>
    </xf>
    <xf numFmtId="0" fontId="36" fillId="2" borderId="26" xfId="0"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0" fontId="36" fillId="2" borderId="17" xfId="0" applyFont="1" applyFill="1" applyBorder="1" applyAlignment="1" applyProtection="1">
      <alignment horizontal="center" vertical="center" wrapText="1"/>
      <protection hidden="1"/>
    </xf>
    <xf numFmtId="0" fontId="36" fillId="2" borderId="30" xfId="0" applyFont="1" applyFill="1" applyBorder="1" applyAlignment="1" applyProtection="1">
      <alignment horizontal="center" vertical="center" wrapText="1"/>
      <protection hidden="1"/>
    </xf>
    <xf numFmtId="0" fontId="22" fillId="0" borderId="0" xfId="0" applyFont="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10" fillId="3" borderId="36" xfId="1" applyFill="1" applyBorder="1" applyAlignment="1" applyProtection="1">
      <alignment horizontal="center" vertical="center" shrinkToFit="1"/>
      <protection hidden="1"/>
    </xf>
    <xf numFmtId="0" fontId="5" fillId="3" borderId="35" xfId="0" applyFont="1" applyFill="1" applyBorder="1" applyAlignment="1" applyProtection="1">
      <alignment horizontal="center" vertical="center" shrinkToFit="1"/>
      <protection hidden="1"/>
    </xf>
    <xf numFmtId="0" fontId="5" fillId="3" borderId="34" xfId="0" applyFont="1" applyFill="1" applyBorder="1" applyAlignment="1" applyProtection="1">
      <alignment horizontal="center" vertical="center" shrinkToFit="1"/>
      <protection hidden="1"/>
    </xf>
    <xf numFmtId="0" fontId="5" fillId="0" borderId="27"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6" fillId="5" borderId="19" xfId="0"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5" fillId="0" borderId="24" xfId="0" applyFont="1" applyBorder="1" applyAlignment="1" applyProtection="1">
      <alignment horizontal="right"/>
      <protection hidden="1"/>
    </xf>
    <xf numFmtId="0" fontId="5" fillId="0" borderId="26" xfId="0" applyFont="1" applyBorder="1" applyAlignment="1" applyProtection="1">
      <alignment horizontal="right"/>
      <protection hidden="1"/>
    </xf>
    <xf numFmtId="0" fontId="11" fillId="37" borderId="24" xfId="0" applyFont="1" applyFill="1" applyBorder="1" applyAlignment="1" applyProtection="1">
      <alignment horizontal="center"/>
      <protection hidden="1"/>
    </xf>
    <xf numFmtId="0" fontId="11" fillId="37" borderId="26" xfId="0" applyFont="1" applyFill="1" applyBorder="1" applyAlignment="1" applyProtection="1">
      <alignment horizontal="center"/>
      <protection hidden="1"/>
    </xf>
    <xf numFmtId="0" fontId="11" fillId="37" borderId="29" xfId="0" applyFont="1" applyFill="1" applyBorder="1" applyAlignment="1" applyProtection="1">
      <alignment horizontal="center"/>
      <protection hidden="1"/>
    </xf>
    <xf numFmtId="0" fontId="11" fillId="37" borderId="30" xfId="0" applyFont="1" applyFill="1" applyBorder="1" applyAlignment="1" applyProtection="1">
      <alignment horizontal="center"/>
      <protection hidden="1"/>
    </xf>
    <xf numFmtId="0" fontId="28" fillId="29" borderId="36" xfId="0" applyFont="1" applyFill="1" applyBorder="1" applyAlignment="1" applyProtection="1">
      <alignment horizontal="center" vertical="center"/>
      <protection hidden="1"/>
    </xf>
    <xf numFmtId="0" fontId="28" fillId="29" borderId="34" xfId="0" applyFont="1" applyFill="1" applyBorder="1" applyAlignment="1" applyProtection="1">
      <alignment horizontal="center" vertical="center"/>
      <protection hidden="1"/>
    </xf>
    <xf numFmtId="0" fontId="31" fillId="29" borderId="36" xfId="0" applyFont="1" applyFill="1" applyBorder="1" applyAlignment="1" applyProtection="1">
      <alignment horizontal="center" vertical="center"/>
      <protection hidden="1"/>
    </xf>
    <xf numFmtId="0" fontId="31" fillId="29" borderId="34" xfId="0" applyFont="1" applyFill="1" applyBorder="1" applyAlignment="1" applyProtection="1">
      <alignment horizontal="center" vertical="center"/>
      <protection hidden="1"/>
    </xf>
  </cellXfs>
  <cellStyles count="5">
    <cellStyle name="Hyperlink" xfId="1" builtinId="8"/>
    <cellStyle name="Hyperlink 2" xfId="3"/>
    <cellStyle name="Normal" xfId="0" builtinId="0"/>
    <cellStyle name="Normal 2" xfId="2"/>
    <cellStyle name="Normal 3" xfId="4"/>
  </cellStyles>
  <dxfs count="0"/>
  <tableStyles count="0" defaultTableStyle="TableStyleMedium2" defaultPivotStyle="PivotStyleLight16"/>
  <colors>
    <mruColors>
      <color rgb="FF5AF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695325</xdr:colOff>
      <xdr:row>3</xdr:row>
      <xdr:rowOff>190499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40414400" y="0"/>
          <a:ext cx="1123950" cy="11144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533401</xdr:colOff>
      <xdr:row>22</xdr:row>
      <xdr:rowOff>114300</xdr:rowOff>
    </xdr:from>
    <xdr:to>
      <xdr:col>8</xdr:col>
      <xdr:colOff>466855</xdr:colOff>
      <xdr:row>25</xdr:row>
      <xdr:rowOff>57150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0746395" y="7000875"/>
          <a:ext cx="1047879" cy="857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293688</xdr:colOff>
      <xdr:row>0</xdr:row>
      <xdr:rowOff>63500</xdr:rowOff>
    </xdr:from>
    <xdr:to>
      <xdr:col>1</xdr:col>
      <xdr:colOff>762000</xdr:colOff>
      <xdr:row>1</xdr:row>
      <xdr:rowOff>199348</xdr:rowOff>
    </xdr:to>
    <xdr:pic>
      <xdr:nvPicPr>
        <xdr:cNvPr id="3" name="Picture 2">
          <a:extLst>
            <a:ext uri="{FF2B5EF4-FFF2-40B4-BE49-F238E27FC236}">
              <a16:creationId xmlns="" xmlns:a16="http://schemas.microsoft.com/office/drawing/2014/main" id="{71E546CD-7817-4DA7-A314-79276CFDFB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86064750" y="63500"/>
          <a:ext cx="468312" cy="4374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66676</xdr:rowOff>
    </xdr:from>
    <xdr:to>
      <xdr:col>6</xdr:col>
      <xdr:colOff>581026</xdr:colOff>
      <xdr:row>2</xdr:row>
      <xdr:rowOff>38100</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790674" y="66676"/>
          <a:ext cx="581026" cy="5524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466725</xdr:colOff>
      <xdr:row>55</xdr:row>
      <xdr:rowOff>28575</xdr:rowOff>
    </xdr:from>
    <xdr:ext cx="1752600" cy="1123950"/>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5556650" y="9982200"/>
          <a:ext cx="1752600" cy="112395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4</xdr:col>
      <xdr:colOff>400050</xdr:colOff>
      <xdr:row>0</xdr:row>
      <xdr:rowOff>1</xdr:rowOff>
    </xdr:from>
    <xdr:to>
      <xdr:col>4</xdr:col>
      <xdr:colOff>1400175</xdr:colOff>
      <xdr:row>3</xdr:row>
      <xdr:rowOff>12280</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233003950" y="1"/>
          <a:ext cx="1000125" cy="9743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228600</xdr:colOff>
      <xdr:row>0</xdr:row>
      <xdr:rowOff>0</xdr:rowOff>
    </xdr:from>
    <xdr:to>
      <xdr:col>5</xdr:col>
      <xdr:colOff>0</xdr:colOff>
      <xdr:row>0</xdr:row>
      <xdr:rowOff>933450</xdr:rowOff>
    </xdr:to>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232918225" y="0"/>
          <a:ext cx="12763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stagram.com/sayah.shahdi/" TargetMode="External"/><Relationship Id="rId7" Type="http://schemas.openxmlformats.org/officeDocument/2006/relationships/comments" Target="../comments1.xml"/><Relationship Id="rId2" Type="http://schemas.openxmlformats.org/officeDocument/2006/relationships/hyperlink" Target="https://shenasname.ir/subjects/wage/5391-1333" TargetMode="External"/><Relationship Id="rId1" Type="http://schemas.openxmlformats.org/officeDocument/2006/relationships/hyperlink" Target="https://shenasname.ir/subjects/wage/466-14593-1"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henasname.ir/" TargetMode="External"/><Relationship Id="rId1" Type="http://schemas.openxmlformats.org/officeDocument/2006/relationships/hyperlink" Target="https://www.instagram.com/sayah.shahdi/"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shenasname.i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C00000"/>
    <pageSetUpPr fitToPage="1"/>
  </sheetPr>
  <dimension ref="A1:J68"/>
  <sheetViews>
    <sheetView rightToLeft="1" tabSelected="1" zoomScaleNormal="100" zoomScalePageLayoutView="70" workbookViewId="0"/>
  </sheetViews>
  <sheetFormatPr defaultColWidth="9" defaultRowHeight="18.75"/>
  <cols>
    <col min="1" max="1" width="5.625" style="281" customWidth="1"/>
    <col min="2" max="2" width="21.125" style="281" customWidth="1"/>
    <col min="3" max="5" width="10.625" style="281" customWidth="1"/>
    <col min="6" max="6" width="15.625" style="281" customWidth="1"/>
    <col min="7" max="7" width="5.375" style="281" customWidth="1"/>
    <col min="8" max="8" width="49.875" style="281" customWidth="1"/>
    <col min="9" max="10" width="15.625" style="281" customWidth="1"/>
    <col min="11" max="16384" width="9" style="281"/>
  </cols>
  <sheetData>
    <row r="1" spans="1:10" ht="26.25">
      <c r="A1" s="349"/>
      <c r="B1" s="656" t="s">
        <v>529</v>
      </c>
      <c r="C1" s="656"/>
      <c r="D1" s="656"/>
      <c r="E1" s="656"/>
      <c r="F1" s="656"/>
      <c r="G1" s="656"/>
      <c r="H1" s="656"/>
      <c r="I1" s="656"/>
    </row>
    <row r="2" spans="1:10" ht="24.75" thickBot="1">
      <c r="A2" s="349"/>
      <c r="B2" s="658" t="s">
        <v>515</v>
      </c>
      <c r="C2" s="658"/>
      <c r="D2" s="658"/>
      <c r="E2" s="658"/>
      <c r="F2" s="658"/>
      <c r="G2" s="658"/>
      <c r="H2" s="658"/>
      <c r="I2" s="658"/>
    </row>
    <row r="3" spans="1:10" ht="21.75" thickBot="1">
      <c r="A3" s="349"/>
      <c r="B3" s="652" t="s">
        <v>520</v>
      </c>
      <c r="C3" s="653"/>
      <c r="D3" s="653"/>
      <c r="E3" s="653"/>
      <c r="F3" s="653"/>
      <c r="G3" s="653"/>
      <c r="H3" s="654" t="s">
        <v>521</v>
      </c>
      <c r="I3" s="655"/>
    </row>
    <row r="4" spans="1:10" ht="24" customHeight="1" thickBot="1">
      <c r="B4" s="657" t="s">
        <v>516</v>
      </c>
      <c r="C4" s="657"/>
      <c r="D4" s="657"/>
      <c r="E4" s="657"/>
      <c r="F4" s="657"/>
      <c r="G4" s="657"/>
      <c r="H4" s="657"/>
      <c r="I4" s="657"/>
      <c r="J4" s="530"/>
    </row>
    <row r="5" spans="1:10" ht="24" customHeight="1">
      <c r="B5" s="639" t="s">
        <v>556</v>
      </c>
      <c r="C5" s="639"/>
      <c r="D5" s="639"/>
      <c r="E5" s="639"/>
      <c r="F5" s="639"/>
      <c r="H5" s="533" t="s">
        <v>523</v>
      </c>
      <c r="I5" s="537" t="s">
        <v>71</v>
      </c>
    </row>
    <row r="6" spans="1:10" ht="24" customHeight="1" thickBot="1">
      <c r="C6" s="505" t="s">
        <v>460</v>
      </c>
      <c r="D6" s="505" t="s">
        <v>116</v>
      </c>
      <c r="E6" s="505" t="s">
        <v>115</v>
      </c>
      <c r="H6" s="534" t="s">
        <v>73</v>
      </c>
      <c r="I6" s="538" t="s">
        <v>75</v>
      </c>
    </row>
    <row r="7" spans="1:10" ht="24" customHeight="1" thickBot="1">
      <c r="C7" s="502">
        <v>0</v>
      </c>
      <c r="D7" s="503">
        <v>0</v>
      </c>
      <c r="E7" s="504">
        <v>0</v>
      </c>
      <c r="H7" s="534" t="s">
        <v>80</v>
      </c>
      <c r="I7" s="538">
        <v>0</v>
      </c>
    </row>
    <row r="8" spans="1:10" ht="24" customHeight="1">
      <c r="C8" s="651" t="str">
        <f>" تاریخ استخدام قراردادی شما : "&amp;E7&amp;"/"&amp;D7&amp;"/"&amp;C7</f>
        <v xml:space="preserve"> تاریخ استخدام قراردادی شما : 0/0/0</v>
      </c>
      <c r="D8" s="651"/>
      <c r="E8" s="651"/>
      <c r="H8" s="534" t="s">
        <v>114</v>
      </c>
      <c r="I8" s="538" t="s">
        <v>111</v>
      </c>
    </row>
    <row r="9" spans="1:10" ht="24" customHeight="1">
      <c r="B9" s="643" t="s">
        <v>512</v>
      </c>
      <c r="C9" s="643"/>
      <c r="D9" s="643"/>
      <c r="E9" s="643"/>
      <c r="F9" s="643"/>
      <c r="H9" s="534" t="s">
        <v>518</v>
      </c>
      <c r="I9" s="629">
        <v>0</v>
      </c>
    </row>
    <row r="10" spans="1:10" ht="24" customHeight="1" thickBot="1">
      <c r="B10" s="644"/>
      <c r="C10" s="644"/>
      <c r="D10" s="644"/>
      <c r="E10" s="644"/>
      <c r="F10" s="644"/>
      <c r="H10" s="534" t="s">
        <v>555</v>
      </c>
      <c r="I10" s="538">
        <v>0</v>
      </c>
    </row>
    <row r="11" spans="1:10" ht="24" customHeight="1" thickBot="1">
      <c r="B11" s="641" t="s">
        <v>511</v>
      </c>
      <c r="C11" s="642"/>
      <c r="D11" s="642"/>
      <c r="E11" s="642"/>
      <c r="F11" s="536" t="s">
        <v>29</v>
      </c>
      <c r="H11" s="534" t="s">
        <v>163</v>
      </c>
      <c r="I11" s="538">
        <v>0</v>
      </c>
    </row>
    <row r="12" spans="1:10" ht="24" customHeight="1" thickBot="1">
      <c r="B12" s="639" t="s">
        <v>513</v>
      </c>
      <c r="C12" s="639"/>
      <c r="D12" s="639"/>
      <c r="E12" s="639"/>
      <c r="F12" s="639"/>
      <c r="H12" s="534" t="s">
        <v>125</v>
      </c>
      <c r="I12" s="538">
        <v>0</v>
      </c>
    </row>
    <row r="13" spans="1:10" ht="24" customHeight="1">
      <c r="B13" s="645" t="s">
        <v>501</v>
      </c>
      <c r="C13" s="646"/>
      <c r="D13" s="646"/>
      <c r="E13" s="646"/>
      <c r="F13" s="623">
        <v>0</v>
      </c>
      <c r="H13" s="534" t="s">
        <v>126</v>
      </c>
      <c r="I13" s="538">
        <v>0</v>
      </c>
    </row>
    <row r="14" spans="1:10" ht="24" customHeight="1">
      <c r="B14" s="647" t="s">
        <v>502</v>
      </c>
      <c r="C14" s="648"/>
      <c r="D14" s="648"/>
      <c r="E14" s="648"/>
      <c r="F14" s="624">
        <v>0</v>
      </c>
      <c r="H14" s="534" t="s">
        <v>127</v>
      </c>
      <c r="I14" s="538">
        <v>0</v>
      </c>
    </row>
    <row r="15" spans="1:10" ht="24" customHeight="1" thickBot="1">
      <c r="B15" s="649" t="s">
        <v>503</v>
      </c>
      <c r="C15" s="650"/>
      <c r="D15" s="650"/>
      <c r="E15" s="650"/>
      <c r="F15" s="625">
        <v>0</v>
      </c>
      <c r="H15" s="534" t="s">
        <v>92</v>
      </c>
      <c r="I15" s="538">
        <v>0</v>
      </c>
    </row>
    <row r="16" spans="1:10" ht="24" customHeight="1" thickBot="1">
      <c r="B16" s="639" t="s">
        <v>509</v>
      </c>
      <c r="C16" s="639"/>
      <c r="D16" s="639"/>
      <c r="E16" s="639"/>
      <c r="F16" s="639"/>
      <c r="H16" s="534" t="s">
        <v>93</v>
      </c>
      <c r="I16" s="538">
        <v>0</v>
      </c>
    </row>
    <row r="17" spans="2:9" ht="24" customHeight="1" thickBot="1">
      <c r="B17" s="641" t="s">
        <v>508</v>
      </c>
      <c r="C17" s="642"/>
      <c r="D17" s="642"/>
      <c r="E17" s="642"/>
      <c r="F17" s="626">
        <v>0</v>
      </c>
      <c r="H17" s="534" t="s">
        <v>522</v>
      </c>
      <c r="I17" s="538" t="s">
        <v>30</v>
      </c>
    </row>
    <row r="18" spans="2:9" ht="24" customHeight="1" thickBot="1">
      <c r="B18" s="639" t="s">
        <v>510</v>
      </c>
      <c r="C18" s="639"/>
      <c r="D18" s="639"/>
      <c r="E18" s="639"/>
      <c r="F18" s="639"/>
      <c r="H18" s="534" t="s">
        <v>504</v>
      </c>
      <c r="I18" s="531">
        <v>0</v>
      </c>
    </row>
    <row r="19" spans="2:9" ht="24" customHeight="1" thickBot="1">
      <c r="B19" s="641" t="s">
        <v>481</v>
      </c>
      <c r="C19" s="642"/>
      <c r="D19" s="642"/>
      <c r="E19" s="642"/>
      <c r="F19" s="627">
        <v>0</v>
      </c>
      <c r="H19" s="534" t="s">
        <v>208</v>
      </c>
      <c r="I19" s="531">
        <v>0</v>
      </c>
    </row>
    <row r="20" spans="2:9" ht="24" customHeight="1" thickBot="1">
      <c r="B20" s="640" t="s">
        <v>517</v>
      </c>
      <c r="C20" s="640"/>
      <c r="D20" s="640"/>
      <c r="E20" s="640"/>
      <c r="F20" s="640"/>
      <c r="H20" s="535" t="s">
        <v>209</v>
      </c>
      <c r="I20" s="532">
        <v>0</v>
      </c>
    </row>
    <row r="21" spans="2:9" ht="24" customHeight="1" thickBot="1">
      <c r="B21" s="641" t="s">
        <v>507</v>
      </c>
      <c r="C21" s="642"/>
      <c r="D21" s="642"/>
      <c r="E21" s="642"/>
      <c r="F21" s="628" t="s">
        <v>30</v>
      </c>
      <c r="G21" s="529"/>
      <c r="H21" s="639" t="s">
        <v>524</v>
      </c>
      <c r="I21" s="639"/>
    </row>
    <row r="22" spans="2:9" ht="24" customHeight="1" thickBot="1">
      <c r="B22" s="639" t="s">
        <v>514</v>
      </c>
      <c r="C22" s="639"/>
      <c r="D22" s="639"/>
      <c r="E22" s="639"/>
      <c r="F22" s="639"/>
      <c r="H22" s="619" t="s">
        <v>535</v>
      </c>
      <c r="I22" s="550" t="s">
        <v>525</v>
      </c>
    </row>
    <row r="23" spans="2:9" ht="24" customHeight="1" thickBot="1">
      <c r="B23" s="641" t="s">
        <v>506</v>
      </c>
      <c r="C23" s="642"/>
      <c r="D23" s="642"/>
      <c r="E23" s="642"/>
      <c r="F23" s="539" t="s">
        <v>457</v>
      </c>
      <c r="H23" s="620" t="s">
        <v>536</v>
      </c>
      <c r="I23" s="588" t="s">
        <v>525</v>
      </c>
    </row>
    <row r="24" spans="2:9" ht="24" customHeight="1" thickBot="1">
      <c r="B24" s="639" t="s">
        <v>519</v>
      </c>
      <c r="C24" s="639"/>
      <c r="D24" s="639"/>
      <c r="E24" s="639"/>
      <c r="F24" s="639"/>
      <c r="H24" s="620" t="s">
        <v>526</v>
      </c>
      <c r="I24" s="588" t="s">
        <v>525</v>
      </c>
    </row>
    <row r="25" spans="2:9" ht="24" customHeight="1" thickBot="1">
      <c r="B25" s="641" t="s">
        <v>155</v>
      </c>
      <c r="C25" s="642"/>
      <c r="D25" s="642"/>
      <c r="E25" s="642"/>
      <c r="F25" s="536" t="s">
        <v>89</v>
      </c>
      <c r="H25" s="621" t="s">
        <v>537</v>
      </c>
      <c r="I25" s="589" t="s">
        <v>525</v>
      </c>
    </row>
    <row r="26" spans="2:9" ht="24" customHeight="1"/>
    <row r="27" spans="2:9" ht="24" customHeight="1"/>
    <row r="28" spans="2:9" ht="24" customHeight="1"/>
    <row r="29" spans="2:9" ht="24" customHeight="1"/>
    <row r="30" spans="2:9" ht="24" customHeight="1"/>
    <row r="31" spans="2:9" ht="24" customHeight="1"/>
    <row r="32" spans="2:9" ht="24" customHeight="1"/>
    <row r="33" spans="8:8" ht="24" customHeight="1"/>
    <row r="34" spans="8:8" ht="24" customHeight="1"/>
    <row r="35" spans="8:8" ht="24" customHeight="1"/>
    <row r="36" spans="8:8" ht="24" customHeight="1"/>
    <row r="37" spans="8:8" ht="24" customHeight="1"/>
    <row r="38" spans="8:8" ht="24" customHeight="1"/>
    <row r="39" spans="8:8" ht="24" customHeight="1"/>
    <row r="40" spans="8:8" ht="24" customHeight="1">
      <c r="H40" s="282"/>
    </row>
    <row r="41" spans="8:8" ht="24" customHeight="1">
      <c r="H41" s="282"/>
    </row>
    <row r="42" spans="8:8" ht="24" customHeight="1">
      <c r="H42" s="282"/>
    </row>
    <row r="43" spans="8:8" ht="24" customHeight="1"/>
    <row r="44" spans="8:8" ht="24" customHeight="1"/>
    <row r="45" spans="8:8" ht="24" customHeight="1"/>
    <row r="46" spans="8:8" ht="24" customHeight="1"/>
    <row r="47" spans="8:8" ht="24" customHeight="1"/>
    <row r="48" spans="8:8" ht="24" customHeight="1"/>
    <row r="49" spans="2:9" ht="24" customHeight="1"/>
    <row r="50" spans="2:9" ht="24" customHeight="1">
      <c r="H50" s="526"/>
      <c r="I50" s="526"/>
    </row>
    <row r="51" spans="2:9" ht="24" customHeight="1">
      <c r="H51" s="526"/>
      <c r="I51" s="526"/>
    </row>
    <row r="52" spans="2:9" ht="24" customHeight="1"/>
    <row r="53" spans="2:9" ht="24" customHeight="1"/>
    <row r="54" spans="2:9" ht="24" customHeight="1"/>
    <row r="55" spans="2:9" ht="24" customHeight="1"/>
    <row r="56" spans="2:9" ht="24" customHeight="1"/>
    <row r="57" spans="2:9" ht="24" customHeight="1"/>
    <row r="58" spans="2:9" ht="24" customHeight="1"/>
    <row r="59" spans="2:9" ht="24" customHeight="1"/>
    <row r="60" spans="2:9" ht="24" customHeight="1">
      <c r="B60" s="282"/>
      <c r="C60" s="282"/>
      <c r="D60" s="282"/>
      <c r="E60" s="282"/>
    </row>
    <row r="61" spans="2:9" ht="24" customHeight="1">
      <c r="B61" s="282"/>
      <c r="C61" s="282"/>
      <c r="D61" s="282"/>
      <c r="E61" s="282"/>
    </row>
    <row r="62" spans="2:9" ht="24" customHeight="1">
      <c r="B62" s="282"/>
      <c r="C62" s="282"/>
      <c r="D62" s="282"/>
      <c r="E62" s="282"/>
    </row>
    <row r="63" spans="2:9" ht="24" customHeight="1">
      <c r="B63" s="282"/>
      <c r="C63" s="282"/>
      <c r="D63" s="282"/>
      <c r="E63" s="282"/>
    </row>
    <row r="64" spans="2:9" ht="24" customHeight="1"/>
    <row r="65" ht="24" customHeight="1"/>
    <row r="66" ht="24" customHeight="1"/>
    <row r="67" ht="24" customHeight="1"/>
    <row r="68" ht="24" customHeight="1"/>
  </sheetData>
  <sheetProtection algorithmName="SHA-512" hashValue="jt9/Zkwzd6+d/G8tAQyMylvBP2vCR1EGZE2uD6Y+gEXxw4D6+t+kiiT8FxX3jtVKQ+QpALVpsOXSLREVGEOrMQ==" saltValue="vg5T0z2rzNn+pO3dz4VJ9g==" spinCount="100000" sheet="1" formatCells="0" formatColumns="0" formatRows="0" insertColumns="0" insertRows="0" insertHyperlinks="0" deleteColumns="0" deleteRows="0" sort="0" autoFilter="0" pivotTables="0"/>
  <mergeCells count="24">
    <mergeCell ref="C8:E8"/>
    <mergeCell ref="B5:F5"/>
    <mergeCell ref="B3:G3"/>
    <mergeCell ref="H3:I3"/>
    <mergeCell ref="B1:I1"/>
    <mergeCell ref="B4:I4"/>
    <mergeCell ref="B2:I2"/>
    <mergeCell ref="B24:F24"/>
    <mergeCell ref="B25:E25"/>
    <mergeCell ref="H21:I21"/>
    <mergeCell ref="B23:E23"/>
    <mergeCell ref="B19:E19"/>
    <mergeCell ref="B21:E21"/>
    <mergeCell ref="B22:F22"/>
    <mergeCell ref="B16:F16"/>
    <mergeCell ref="B18:F18"/>
    <mergeCell ref="B20:F20"/>
    <mergeCell ref="B11:E11"/>
    <mergeCell ref="B9:F10"/>
    <mergeCell ref="B12:F12"/>
    <mergeCell ref="B13:E13"/>
    <mergeCell ref="B14:E14"/>
    <mergeCell ref="B15:E15"/>
    <mergeCell ref="B17:E17"/>
  </mergeCells>
  <dataValidations count="3">
    <dataValidation type="whole" allowBlank="1" showInputMessage="1" showErrorMessage="1" sqref="D7">
      <formula1>0</formula1>
      <formula2>12</formula2>
    </dataValidation>
    <dataValidation type="whole" allowBlank="1" showInputMessage="1" showErrorMessage="1" sqref="C7">
      <formula1>0</formula1>
      <formula2>31</formula2>
    </dataValidation>
    <dataValidation type="whole" allowBlank="1" showInputMessage="1" showErrorMessage="1" sqref="E7">
      <formula1>0</formula1>
      <formula2>1500</formula2>
    </dataValidation>
  </dataValidations>
  <hyperlinks>
    <hyperlink ref="B9:F10" r:id="rId1" display="مطابق بخشنامه 14593 در مرحله تطبیق، کارمندانی که سابقه دولتی دارنذ در مشاغل تا سطح کاردانی نهایتا تا رتبه پایه و  مشاغل کارشناسی و بالاتر تا رتبه ارشد ارتقا می یابند."/>
    <hyperlink ref="B20:F20" r:id="rId2" display="مناطق عملیاتی موضوع ماده 112 قانون برنامه ششم توسعه (دانلود از لینک زیر)"/>
    <hyperlink ref="H3" r:id="rId3"/>
    <hyperlink ref="I23" location="'جدول محاسبه حق شاغل'!A1" display="ورود"/>
    <hyperlink ref="I24" location="'جدول محاسبات'!A1" display="ورود"/>
    <hyperlink ref="I25" location="'کاربرگ قرارداد'!A1" display="ورود"/>
    <hyperlink ref="I22" location="'جدول محاسبه حق شغل'!A1" display="ورود"/>
  </hyperlinks>
  <printOptions horizontalCentered="1" verticalCentered="1"/>
  <pageMargins left="0.31496062992125984" right="0.31496062992125984" top="0.15748031496062992" bottom="0.15748031496062992" header="0" footer="0"/>
  <pageSetup paperSize="9" scale="93" orientation="landscape" r:id="rId4"/>
  <drawing r:id="rId5"/>
  <legacyDrawing r:id="rId6"/>
  <extLst>
    <ext xmlns:x14="http://schemas.microsoft.com/office/spreadsheetml/2009/9/main" uri="{CCE6A557-97BC-4b89-ADB6-D9C93CAAB3DF}">
      <x14:dataValidations xmlns:xm="http://schemas.microsoft.com/office/excel/2006/main" count="20">
        <x14:dataValidation type="list" allowBlank="1" showInputMessage="1" showErrorMessage="1">
          <x14:formula1>
            <xm:f>محاسبات!$A$19:$A$21</xm:f>
          </x14:formula1>
          <xm:sqref>F25</xm:sqref>
        </x14:dataValidation>
        <x14:dataValidation type="list" allowBlank="1" showInputMessage="1" showErrorMessage="1">
          <x14:formula1>
            <xm:f>محاسبات!$C$82:$C$87</xm:f>
          </x14:formula1>
          <xm:sqref>I17</xm:sqref>
        </x14:dataValidation>
        <x14:dataValidation type="list" allowBlank="1" showInputMessage="1" showErrorMessage="1">
          <x14:formula1>
            <xm:f>محاسبات!$H$1:$H$12</xm:f>
          </x14:formula1>
          <xm:sqref>I16</xm:sqref>
        </x14:dataValidation>
        <x14:dataValidation type="list" allowBlank="1" showInputMessage="1" showErrorMessage="1">
          <x14:formula1>
            <xm:f>محاسبات!$H$1:$H$9</xm:f>
          </x14:formula1>
          <xm:sqref>I7</xm:sqref>
        </x14:dataValidation>
        <x14:dataValidation type="list" allowBlank="1" showInputMessage="1" showErrorMessage="1">
          <x14:formula1>
            <xm:f>Sheet1!$M$106:$M$110</xm:f>
          </x14:formula1>
          <xm:sqref>I20</xm:sqref>
        </x14:dataValidation>
        <x14:dataValidation type="list" allowBlank="1" showInputMessage="1" showErrorMessage="1">
          <x14:formula1>
            <xm:f>محاسبات!$H$1:$H$51</xm:f>
          </x14:formula1>
          <xm:sqref>I11 F19</xm:sqref>
        </x14:dataValidation>
        <x14:dataValidation type="list" allowBlank="1" showInputMessage="1" showErrorMessage="1">
          <x14:formula1>
            <xm:f>محاسبات!$H$1:$H$8</xm:f>
          </x14:formula1>
          <xm:sqref>I15</xm:sqref>
        </x14:dataValidation>
        <x14:dataValidation type="list" allowBlank="1" showInputMessage="1" showErrorMessage="1">
          <x14:formula1>
            <xm:f>محاسبات!$U$1:$U$6</xm:f>
          </x14:formula1>
          <xm:sqref>I18</xm:sqref>
        </x14:dataValidation>
        <x14:dataValidation type="list" allowBlank="1" showInputMessage="1" showErrorMessage="1">
          <x14:formula1>
            <xm:f>محاسبات!$F$1:$F$2</xm:f>
          </x14:formula1>
          <xm:sqref>F21 F11</xm:sqref>
        </x14:dataValidation>
        <x14:dataValidation type="list" allowBlank="1" showInputMessage="1" showErrorMessage="1">
          <x14:formula1>
            <xm:f>محاسبات!$F$3:$F$4</xm:f>
          </x14:formula1>
          <xm:sqref>I5</xm:sqref>
        </x14:dataValidation>
        <x14:dataValidation type="list" allowBlank="1" showInputMessage="1" showErrorMessage="1">
          <x14:formula1>
            <xm:f>محاسبات!$F$5:$F$8</xm:f>
          </x14:formula1>
          <xm:sqref>I6</xm:sqref>
        </x14:dataValidation>
        <x14:dataValidation type="list" allowBlank="1" showInputMessage="1" showErrorMessage="1">
          <x14:formula1>
            <xm:f>'جدول محاسبه حق شاغل'!$B$4:$B$8</xm:f>
          </x14:formula1>
          <xm:sqref>I8</xm:sqref>
        </x14:dataValidation>
        <x14:dataValidation type="list" allowBlank="1" showInputMessage="1" showErrorMessage="1">
          <x14:formula1>
            <xm:f>محاسبات!$B$112:$B$124</xm:f>
          </x14:formula1>
          <xm:sqref>I12</xm:sqref>
        </x14:dataValidation>
        <x14:dataValidation type="list" allowBlank="1" showInputMessage="1" showErrorMessage="1">
          <x14:formula1>
            <xm:f>محاسبات!$D$112:$D$124</xm:f>
          </x14:formula1>
          <xm:sqref>I13</xm:sqref>
        </x14:dataValidation>
        <x14:dataValidation type="list" allowBlank="1" showInputMessage="1" showErrorMessage="1">
          <x14:formula1>
            <xm:f>محاسبات!$F$111:$F$124</xm:f>
          </x14:formula1>
          <xm:sqref>I14</xm:sqref>
        </x14:dataValidation>
        <x14:dataValidation type="list" allowBlank="1" showInputMessage="1" showErrorMessage="1">
          <x14:formula1>
            <xm:f>Sheet1!$G$106:$G$111</xm:f>
          </x14:formula1>
          <xm:sqref>I19</xm:sqref>
        </x14:dataValidation>
        <x14:dataValidation type="list" allowBlank="1" showInputMessage="1" showErrorMessage="1">
          <x14:formula1>
            <xm:f>Sheet1!$S$119:$S$124</xm:f>
          </x14:formula1>
          <xm:sqref>F15</xm:sqref>
        </x14:dataValidation>
        <x14:dataValidation type="list" allowBlank="1" showInputMessage="1" showErrorMessage="1">
          <x14:formula1>
            <xm:f>Sheet1!$R$119:$R$122</xm:f>
          </x14:formula1>
          <xm:sqref>F14</xm:sqref>
        </x14:dataValidation>
        <x14:dataValidation type="list" allowBlank="1" showInputMessage="1" showErrorMessage="1">
          <x14:formula1>
            <xm:f>Sheet1!$Q$119:$Q$122</xm:f>
          </x14:formula1>
          <xm:sqref>F13</xm:sqref>
        </x14:dataValidation>
        <x14:dataValidation type="list" allowBlank="1" showInputMessage="1" showErrorMessage="1">
          <x14:formula1>
            <xm:f>Sheet1!$N$21:$N$22</xm:f>
          </x14:formula1>
          <xm:sqref>F23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I47"/>
  <sheetViews>
    <sheetView rightToLeft="1" zoomScaleNormal="100" workbookViewId="0">
      <selection activeCell="F7" sqref="F7"/>
    </sheetView>
  </sheetViews>
  <sheetFormatPr defaultRowHeight="14.25"/>
  <cols>
    <col min="1" max="1" width="39.375" customWidth="1"/>
    <col min="2" max="2" width="14.875" bestFit="1" customWidth="1"/>
    <col min="4" max="4" width="21.125" customWidth="1"/>
    <col min="5" max="5" width="22.375" customWidth="1"/>
  </cols>
  <sheetData>
    <row r="1" spans="1:9" ht="75" customHeight="1" thickBot="1">
      <c r="A1" s="1003" t="s">
        <v>53</v>
      </c>
      <c r="B1" s="1003"/>
      <c r="C1" s="1003"/>
      <c r="D1" s="1003"/>
      <c r="E1" s="185"/>
      <c r="F1" s="85"/>
      <c r="G1" s="85"/>
      <c r="H1" s="85"/>
      <c r="I1" s="85"/>
    </row>
    <row r="2" spans="1:9" ht="16.5" thickBot="1">
      <c r="A2" s="86" t="s">
        <v>36</v>
      </c>
      <c r="B2" s="86" t="s">
        <v>37</v>
      </c>
      <c r="C2" s="1011" t="s">
        <v>38</v>
      </c>
      <c r="D2" s="1012"/>
      <c r="E2" s="86" t="s">
        <v>37</v>
      </c>
      <c r="F2" s="85"/>
      <c r="G2" s="85"/>
      <c r="H2" s="85"/>
      <c r="I2" s="85"/>
    </row>
    <row r="3" spans="1:9" ht="21">
      <c r="A3" s="87" t="s">
        <v>61</v>
      </c>
      <c r="B3" s="88">
        <f>حکم!E8</f>
        <v>16725838.686618241</v>
      </c>
      <c r="C3" s="1013" t="s">
        <v>42</v>
      </c>
      <c r="D3" s="1014"/>
      <c r="E3" s="174">
        <f>IF(محاسبات!F2=محاسبات!B141,محاسبات!F40,0)</f>
        <v>1373370.768281837</v>
      </c>
      <c r="F3" s="85"/>
      <c r="G3" s="85"/>
      <c r="H3" s="85"/>
      <c r="I3" s="85"/>
    </row>
    <row r="4" spans="1:9" ht="21">
      <c r="A4" s="89" t="s">
        <v>39</v>
      </c>
      <c r="B4" s="90">
        <f>SUM(حکم!E9:E24)</f>
        <v>2893743.717408</v>
      </c>
      <c r="C4" s="991" t="s">
        <v>43</v>
      </c>
      <c r="D4" s="992"/>
      <c r="E4" s="175">
        <f>IF(محاسبات!F2=محاسبات!B141,محاسبات!E34,0)</f>
        <v>620000</v>
      </c>
      <c r="F4" s="85"/>
      <c r="G4" s="85"/>
      <c r="H4" s="85"/>
      <c r="I4" s="85"/>
    </row>
    <row r="5" spans="1:9" ht="21">
      <c r="A5" s="89" t="s">
        <v>243</v>
      </c>
      <c r="B5" s="91">
        <f>'جدول محاسبات'!F31*محاسبات!B142</f>
        <v>5578490.9090909092</v>
      </c>
      <c r="C5" s="991" t="s">
        <v>44</v>
      </c>
      <c r="D5" s="992"/>
      <c r="E5" s="175">
        <f>محاسبات!B9</f>
        <v>269550</v>
      </c>
      <c r="F5" s="85"/>
      <c r="G5" s="85"/>
      <c r="H5" s="85"/>
      <c r="I5" s="85"/>
    </row>
    <row r="6" spans="1:9" ht="21">
      <c r="A6" s="89" t="s">
        <v>28</v>
      </c>
      <c r="B6" s="91">
        <f>محاسبات!B149</f>
        <v>6000000</v>
      </c>
      <c r="C6" s="991" t="s">
        <v>48</v>
      </c>
      <c r="D6" s="992"/>
      <c r="E6" s="175">
        <f>IF(محاسبات!F2=محاسبات!B140,محاسبات!F167,0)</f>
        <v>0</v>
      </c>
      <c r="F6" s="85"/>
      <c r="G6" s="85"/>
      <c r="H6" s="85"/>
      <c r="I6" s="85"/>
    </row>
    <row r="7" spans="1:9" ht="21">
      <c r="A7" s="89" t="s">
        <v>40</v>
      </c>
      <c r="B7" s="90">
        <f>محاسبات!E58</f>
        <v>3090000</v>
      </c>
      <c r="C7" s="991" t="s">
        <v>45</v>
      </c>
      <c r="D7" s="992"/>
      <c r="E7" s="175">
        <f>محاسبات!B152</f>
        <v>0</v>
      </c>
      <c r="F7" s="85"/>
      <c r="G7" s="85"/>
      <c r="H7" s="85"/>
      <c r="I7" s="85"/>
    </row>
    <row r="8" spans="1:9" ht="21">
      <c r="A8" s="89" t="s">
        <v>41</v>
      </c>
      <c r="B8" s="90">
        <f>IF(محاسبات!B141=محاسبات!F1,0,محاسبات!E35)</f>
        <v>320000</v>
      </c>
      <c r="C8" s="991" t="s">
        <v>46</v>
      </c>
      <c r="D8" s="992"/>
      <c r="E8" s="175">
        <f>محاسبات!B153</f>
        <v>0</v>
      </c>
      <c r="F8" s="85"/>
      <c r="G8" s="85"/>
      <c r="H8" s="85"/>
      <c r="I8" s="85"/>
    </row>
    <row r="9" spans="1:9" ht="21">
      <c r="A9" s="89" t="s">
        <v>221</v>
      </c>
      <c r="B9" s="90">
        <f>IF(محاسبات!F2=محاسبات!B145,0,300000)</f>
        <v>0</v>
      </c>
      <c r="C9" s="995"/>
      <c r="D9" s="996"/>
      <c r="E9" s="176"/>
      <c r="F9" s="85"/>
      <c r="G9" s="85"/>
      <c r="H9" s="85"/>
      <c r="I9" s="85"/>
    </row>
    <row r="10" spans="1:9" ht="21">
      <c r="A10" s="89" t="s">
        <v>231</v>
      </c>
      <c r="B10" s="90">
        <f>محاسبات!E65</f>
        <v>0</v>
      </c>
      <c r="C10" s="995"/>
      <c r="D10" s="996"/>
      <c r="E10" s="176"/>
      <c r="F10" s="85"/>
      <c r="G10" s="85"/>
      <c r="H10" s="85"/>
      <c r="I10" s="85"/>
    </row>
    <row r="11" spans="1:9" ht="21">
      <c r="A11" s="89" t="s">
        <v>218</v>
      </c>
      <c r="B11" s="90">
        <f>محاسبات!B150</f>
        <v>0</v>
      </c>
      <c r="C11" s="1009"/>
      <c r="D11" s="1010"/>
      <c r="E11" s="175"/>
      <c r="F11" s="85"/>
      <c r="G11" s="85"/>
      <c r="H11" s="85"/>
      <c r="I11" s="85"/>
    </row>
    <row r="12" spans="1:9" ht="21">
      <c r="A12" s="89" t="s">
        <v>233</v>
      </c>
      <c r="B12" s="90">
        <f>محاسبات!B151</f>
        <v>0</v>
      </c>
      <c r="C12" s="1009"/>
      <c r="D12" s="1010"/>
      <c r="E12" s="175"/>
      <c r="F12" s="85"/>
      <c r="G12" s="85"/>
      <c r="H12" s="85"/>
      <c r="I12" s="85"/>
    </row>
    <row r="13" spans="1:9" ht="21">
      <c r="A13" s="89" t="s">
        <v>239</v>
      </c>
      <c r="B13" s="92">
        <f>محاسبات!E48</f>
        <v>0</v>
      </c>
      <c r="C13" s="1009"/>
      <c r="D13" s="1010"/>
      <c r="E13" s="175"/>
      <c r="F13" s="85"/>
      <c r="G13" s="85"/>
      <c r="H13" s="85"/>
      <c r="I13" s="85"/>
    </row>
    <row r="14" spans="1:9" ht="24.75" thickBot="1">
      <c r="A14" s="193"/>
      <c r="B14" s="93"/>
      <c r="C14" s="993" t="s">
        <v>237</v>
      </c>
      <c r="D14" s="994"/>
      <c r="E14" s="177"/>
      <c r="F14" s="85"/>
      <c r="G14" s="85"/>
      <c r="H14" s="85"/>
      <c r="I14" s="85"/>
    </row>
    <row r="15" spans="1:9" ht="21.75" thickBot="1">
      <c r="A15" s="94" t="s">
        <v>47</v>
      </c>
      <c r="B15" s="95">
        <f>SUM(B3:B14)</f>
        <v>34608073.313117146</v>
      </c>
      <c r="C15" s="1004" t="s">
        <v>49</v>
      </c>
      <c r="D15" s="1005"/>
      <c r="E15" s="95">
        <f>SUM(E3:E14)</f>
        <v>2262920.768281837</v>
      </c>
      <c r="F15" s="85"/>
      <c r="G15" s="85"/>
      <c r="H15" s="85"/>
      <c r="I15" s="85"/>
    </row>
    <row r="16" spans="1:9" ht="21.75" thickBot="1">
      <c r="A16" s="94" t="s">
        <v>238</v>
      </c>
      <c r="B16" s="95">
        <f>ROUND(محاسبات!B25,0)</f>
        <v>32345153</v>
      </c>
      <c r="C16" s="1006" t="s">
        <v>183</v>
      </c>
      <c r="D16" s="1007"/>
      <c r="E16" s="1008"/>
      <c r="F16" s="85"/>
      <c r="G16" s="85"/>
      <c r="H16" s="85"/>
      <c r="I16" s="85"/>
    </row>
    <row r="17" spans="1:9" ht="15" thickBot="1">
      <c r="A17" s="85"/>
      <c r="B17" s="85"/>
      <c r="C17" s="85"/>
      <c r="D17" s="85"/>
      <c r="E17" s="85"/>
      <c r="F17" s="85"/>
      <c r="G17" s="85"/>
      <c r="H17" s="85"/>
      <c r="I17" s="85"/>
    </row>
    <row r="18" spans="1:9" ht="31.5" customHeight="1">
      <c r="A18" s="997" t="s">
        <v>337</v>
      </c>
      <c r="B18" s="998"/>
      <c r="C18" s="998"/>
      <c r="D18" s="998"/>
      <c r="E18" s="999"/>
      <c r="F18" s="85"/>
      <c r="G18" s="85"/>
      <c r="H18" s="85"/>
      <c r="I18" s="85"/>
    </row>
    <row r="19" spans="1:9" ht="30.75" customHeight="1" thickBot="1">
      <c r="A19" s="1000"/>
      <c r="B19" s="1001"/>
      <c r="C19" s="1001"/>
      <c r="D19" s="1001"/>
      <c r="E19" s="1002"/>
      <c r="F19" s="85"/>
      <c r="G19" s="85"/>
      <c r="H19" s="85"/>
      <c r="I19" s="85"/>
    </row>
    <row r="20" spans="1:9">
      <c r="A20" s="85"/>
      <c r="B20" s="85"/>
      <c r="C20" s="85"/>
      <c r="D20" s="85"/>
      <c r="E20" s="85"/>
      <c r="F20" s="85"/>
      <c r="G20" s="85"/>
      <c r="H20" s="85"/>
      <c r="I20" s="85"/>
    </row>
    <row r="21" spans="1:9">
      <c r="A21" s="85"/>
      <c r="B21" s="85"/>
      <c r="C21" s="85"/>
      <c r="D21" s="85"/>
      <c r="E21" s="85"/>
      <c r="F21" s="85"/>
      <c r="G21" s="85"/>
      <c r="H21" s="85"/>
      <c r="I21" s="85"/>
    </row>
    <row r="22" spans="1:9">
      <c r="A22" s="85"/>
      <c r="B22" s="85"/>
      <c r="C22" s="85"/>
      <c r="D22" s="85"/>
      <c r="E22" s="85"/>
      <c r="F22" s="85"/>
      <c r="G22" s="85"/>
      <c r="H22" s="85"/>
      <c r="I22" s="85"/>
    </row>
    <row r="23" spans="1:9">
      <c r="A23" s="85"/>
      <c r="B23" s="85"/>
      <c r="C23" s="85"/>
      <c r="D23" s="85"/>
      <c r="E23" s="85"/>
      <c r="F23" s="85"/>
      <c r="G23" s="85"/>
      <c r="H23" s="85"/>
      <c r="I23" s="85"/>
    </row>
    <row r="24" spans="1:9">
      <c r="A24" s="85"/>
      <c r="B24" s="85"/>
      <c r="C24" s="85"/>
      <c r="D24" s="85"/>
      <c r="E24" s="85"/>
      <c r="F24" s="85"/>
      <c r="G24" s="85"/>
      <c r="H24" s="85"/>
      <c r="I24" s="85"/>
    </row>
    <row r="25" spans="1:9">
      <c r="A25" s="85"/>
      <c r="B25" s="85"/>
      <c r="C25" s="85"/>
      <c r="D25" s="85"/>
      <c r="E25" s="85"/>
      <c r="F25" s="85"/>
      <c r="G25" s="85"/>
      <c r="H25" s="85"/>
      <c r="I25" s="85"/>
    </row>
    <row r="26" spans="1:9">
      <c r="A26" s="85"/>
      <c r="B26" s="85"/>
      <c r="C26" s="85"/>
      <c r="D26" s="85"/>
      <c r="E26" s="85"/>
      <c r="F26" s="85"/>
      <c r="G26" s="85"/>
      <c r="H26" s="85"/>
      <c r="I26" s="85"/>
    </row>
    <row r="27" spans="1:9">
      <c r="A27" s="85"/>
      <c r="B27" s="85"/>
      <c r="C27" s="85"/>
      <c r="D27" s="85"/>
      <c r="E27" s="85"/>
      <c r="F27" s="85"/>
      <c r="G27" s="85"/>
      <c r="H27" s="85"/>
      <c r="I27" s="85"/>
    </row>
    <row r="28" spans="1:9">
      <c r="A28" s="85"/>
      <c r="B28" s="85"/>
      <c r="C28" s="85"/>
      <c r="D28" s="85"/>
      <c r="E28" s="85"/>
      <c r="F28" s="85"/>
      <c r="G28" s="85"/>
      <c r="H28" s="85"/>
      <c r="I28" s="85"/>
    </row>
    <row r="29" spans="1:9">
      <c r="A29" s="85"/>
      <c r="B29" s="85"/>
      <c r="C29" s="85"/>
      <c r="D29" s="85"/>
      <c r="E29" s="85"/>
      <c r="F29" s="85"/>
      <c r="G29" s="85"/>
      <c r="H29" s="85"/>
      <c r="I29" s="85"/>
    </row>
    <row r="30" spans="1:9">
      <c r="A30" s="85"/>
      <c r="B30" s="85"/>
      <c r="C30" s="85"/>
      <c r="D30" s="85"/>
      <c r="E30" s="85"/>
      <c r="F30" s="85"/>
      <c r="G30" s="85"/>
      <c r="H30" s="85"/>
      <c r="I30" s="85"/>
    </row>
    <row r="31" spans="1:9">
      <c r="A31" s="85"/>
      <c r="B31" s="85"/>
      <c r="C31" s="85"/>
      <c r="D31" s="85"/>
      <c r="E31" s="85"/>
      <c r="F31" s="85"/>
      <c r="G31" s="85"/>
      <c r="H31" s="85"/>
      <c r="I31" s="85"/>
    </row>
    <row r="32" spans="1:9">
      <c r="A32" s="85"/>
      <c r="B32" s="85"/>
      <c r="C32" s="85"/>
      <c r="D32" s="85"/>
      <c r="E32" s="85"/>
      <c r="F32" s="85"/>
      <c r="G32" s="85"/>
      <c r="H32" s="85"/>
      <c r="I32" s="85"/>
    </row>
    <row r="33" spans="1:9">
      <c r="A33" s="85"/>
      <c r="B33" s="85"/>
      <c r="C33" s="85"/>
      <c r="D33" s="85"/>
      <c r="E33" s="85"/>
      <c r="F33" s="85"/>
      <c r="G33" s="85"/>
      <c r="H33" s="85"/>
      <c r="I33" s="85"/>
    </row>
    <row r="34" spans="1:9">
      <c r="A34" s="85"/>
      <c r="B34" s="85"/>
      <c r="C34" s="85"/>
      <c r="D34" s="85"/>
      <c r="E34" s="85"/>
      <c r="F34" s="85"/>
      <c r="G34" s="85"/>
      <c r="H34" s="85"/>
      <c r="I34" s="85"/>
    </row>
    <row r="35" spans="1:9">
      <c r="A35" s="85"/>
      <c r="B35" s="85"/>
      <c r="C35" s="85"/>
      <c r="D35" s="85"/>
      <c r="E35" s="85"/>
      <c r="F35" s="85"/>
      <c r="G35" s="85"/>
      <c r="H35" s="85"/>
      <c r="I35" s="85"/>
    </row>
    <row r="36" spans="1:9">
      <c r="A36" s="85"/>
      <c r="B36" s="85"/>
      <c r="C36" s="85"/>
      <c r="D36" s="85"/>
      <c r="E36" s="85"/>
      <c r="F36" s="85"/>
      <c r="G36" s="85"/>
      <c r="H36" s="85"/>
      <c r="I36" s="85"/>
    </row>
    <row r="37" spans="1:9">
      <c r="A37" s="85"/>
      <c r="B37" s="85"/>
      <c r="C37" s="85"/>
      <c r="D37" s="85"/>
      <c r="E37" s="85"/>
      <c r="F37" s="85"/>
      <c r="G37" s="85"/>
      <c r="H37" s="85"/>
      <c r="I37" s="85"/>
    </row>
    <row r="38" spans="1:9">
      <c r="A38" s="85"/>
      <c r="B38" s="85"/>
      <c r="C38" s="85"/>
      <c r="D38" s="85"/>
      <c r="E38" s="85"/>
      <c r="F38" s="85"/>
      <c r="G38" s="85"/>
      <c r="H38" s="85"/>
      <c r="I38" s="85"/>
    </row>
    <row r="39" spans="1:9">
      <c r="A39" s="85"/>
      <c r="B39" s="85"/>
      <c r="C39" s="85"/>
      <c r="D39" s="85"/>
      <c r="E39" s="85"/>
      <c r="F39" s="85"/>
      <c r="G39" s="85"/>
      <c r="H39" s="85"/>
      <c r="I39" s="85"/>
    </row>
    <row r="40" spans="1:9">
      <c r="A40" s="85"/>
      <c r="B40" s="85"/>
      <c r="C40" s="85"/>
      <c r="D40" s="85"/>
      <c r="E40" s="85"/>
      <c r="F40" s="85"/>
      <c r="G40" s="85"/>
      <c r="H40" s="85"/>
      <c r="I40" s="85"/>
    </row>
    <row r="41" spans="1:9">
      <c r="A41" s="85"/>
      <c r="B41" s="85"/>
      <c r="C41" s="85"/>
      <c r="D41" s="85"/>
      <c r="E41" s="85"/>
      <c r="F41" s="85"/>
      <c r="G41" s="85"/>
      <c r="H41" s="85"/>
      <c r="I41" s="85"/>
    </row>
    <row r="42" spans="1:9">
      <c r="A42" s="85"/>
      <c r="B42" s="85"/>
      <c r="C42" s="85"/>
      <c r="D42" s="85"/>
      <c r="E42" s="85"/>
      <c r="F42" s="85"/>
      <c r="G42" s="85"/>
      <c r="H42" s="85"/>
      <c r="I42" s="85"/>
    </row>
    <row r="43" spans="1:9">
      <c r="A43" s="85"/>
      <c r="B43" s="85"/>
      <c r="C43" s="85"/>
      <c r="D43" s="85"/>
      <c r="E43" s="85"/>
      <c r="F43" s="85"/>
      <c r="G43" s="85"/>
      <c r="H43" s="85"/>
      <c r="I43" s="85"/>
    </row>
    <row r="44" spans="1:9">
      <c r="A44" s="85"/>
      <c r="B44" s="85"/>
      <c r="C44" s="85"/>
      <c r="D44" s="85"/>
      <c r="E44" s="85"/>
      <c r="F44" s="85"/>
      <c r="G44" s="85"/>
      <c r="H44" s="85"/>
      <c r="I44" s="85"/>
    </row>
    <row r="45" spans="1:9">
      <c r="A45" s="85"/>
      <c r="B45" s="85"/>
      <c r="C45" s="85"/>
      <c r="D45" s="85"/>
      <c r="E45" s="85"/>
      <c r="F45" s="85"/>
      <c r="G45" s="85"/>
      <c r="H45" s="85"/>
      <c r="I45" s="85"/>
    </row>
    <row r="46" spans="1:9">
      <c r="A46" s="85"/>
      <c r="B46" s="85"/>
      <c r="C46" s="85"/>
      <c r="D46" s="85"/>
      <c r="E46" s="85"/>
      <c r="F46" s="85"/>
      <c r="G46" s="85"/>
      <c r="H46" s="85"/>
      <c r="I46" s="85"/>
    </row>
    <row r="47" spans="1:9">
      <c r="A47" s="85"/>
      <c r="B47" s="85"/>
      <c r="C47" s="85"/>
      <c r="D47" s="85"/>
      <c r="E47" s="85"/>
      <c r="F47" s="85"/>
      <c r="G47" s="85"/>
      <c r="H47" s="85"/>
      <c r="I47" s="85"/>
    </row>
  </sheetData>
  <mergeCells count="17">
    <mergeCell ref="C4:D4"/>
    <mergeCell ref="C5:D5"/>
    <mergeCell ref="C14:D14"/>
    <mergeCell ref="C10:D10"/>
    <mergeCell ref="A18:E19"/>
    <mergeCell ref="A1:D1"/>
    <mergeCell ref="C15:D15"/>
    <mergeCell ref="C6:D6"/>
    <mergeCell ref="C16:E16"/>
    <mergeCell ref="C7:D7"/>
    <mergeCell ref="C8:D8"/>
    <mergeCell ref="C9:D9"/>
    <mergeCell ref="C11:D11"/>
    <mergeCell ref="C12:D12"/>
    <mergeCell ref="C13:D13"/>
    <mergeCell ref="C2:D2"/>
    <mergeCell ref="C3:D3"/>
  </mergeCells>
  <hyperlinks>
    <hyperlink ref="C14" r:id="rId1"/>
    <hyperlink ref="C16" r:id="rId2"/>
  </hyperlinks>
  <printOptions horizontalCentered="1" verticalCentered="1"/>
  <pageMargins left="0.31496062992125984" right="0.31496062992125984" top="0.15748031496062992" bottom="0.15748031496062992" header="0" footer="0"/>
  <pageSetup paperSize="11" scale="84" orientation="landscape"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B1:C30"/>
  <sheetViews>
    <sheetView rightToLeft="1" workbookViewId="0">
      <selection activeCell="C31" sqref="C31"/>
    </sheetView>
  </sheetViews>
  <sheetFormatPr defaultColWidth="9" defaultRowHeight="14.25"/>
  <cols>
    <col min="1" max="1" width="9" style="85"/>
    <col min="2" max="2" width="41.375" style="85" customWidth="1"/>
    <col min="3" max="3" width="28" style="85" customWidth="1"/>
    <col min="4" max="16384" width="9" style="85"/>
  </cols>
  <sheetData>
    <row r="1" spans="2:3" ht="15" thickBot="1"/>
    <row r="2" spans="2:3" ht="25.5" thickBot="1">
      <c r="B2" s="1019" t="s">
        <v>272</v>
      </c>
      <c r="C2" s="1020"/>
    </row>
    <row r="3" spans="2:3" ht="22.5">
      <c r="B3" s="1015" t="s">
        <v>273</v>
      </c>
      <c r="C3" s="1016"/>
    </row>
    <row r="4" spans="2:3" ht="23.25" thickBot="1">
      <c r="B4" s="1017" t="s">
        <v>278</v>
      </c>
      <c r="C4" s="1018"/>
    </row>
    <row r="5" spans="2:3" ht="22.5">
      <c r="B5" s="244" t="s">
        <v>265</v>
      </c>
      <c r="C5" s="245">
        <v>0</v>
      </c>
    </row>
    <row r="6" spans="2:3" ht="22.5">
      <c r="B6" s="246" t="s">
        <v>266</v>
      </c>
      <c r="C6" s="247">
        <v>0</v>
      </c>
    </row>
    <row r="7" spans="2:3" ht="23.25" thickBot="1">
      <c r="B7" s="246" t="s">
        <v>267</v>
      </c>
      <c r="C7" s="247">
        <v>0</v>
      </c>
    </row>
    <row r="8" spans="2:3" ht="23.25" thickBot="1">
      <c r="B8" s="249" t="s">
        <v>268</v>
      </c>
      <c r="C8" s="250">
        <v>0</v>
      </c>
    </row>
    <row r="9" spans="2:3" ht="23.25" thickBot="1">
      <c r="B9" s="251" t="s">
        <v>269</v>
      </c>
      <c r="C9" s="252">
        <v>0</v>
      </c>
    </row>
    <row r="10" spans="2:3" ht="23.25" thickBot="1">
      <c r="B10" s="253" t="s">
        <v>270</v>
      </c>
      <c r="C10" s="254" t="e">
        <f>C8/SUM(C5:C7)</f>
        <v>#DIV/0!</v>
      </c>
    </row>
    <row r="11" spans="2:3" ht="23.25" thickBot="1">
      <c r="B11" s="255" t="s">
        <v>271</v>
      </c>
      <c r="C11" s="256" t="e">
        <f>C9/SUM(C5:C7)</f>
        <v>#DIV/0!</v>
      </c>
    </row>
    <row r="12" spans="2:3" ht="15" thickBot="1"/>
    <row r="13" spans="2:3" ht="28.5" thickBot="1">
      <c r="B13" s="1021" t="s">
        <v>279</v>
      </c>
      <c r="C13" s="1022"/>
    </row>
    <row r="14" spans="2:3" ht="22.5">
      <c r="B14" s="1015" t="s">
        <v>273</v>
      </c>
      <c r="C14" s="1016"/>
    </row>
    <row r="15" spans="2:3" ht="23.25" thickBot="1">
      <c r="B15" s="1017" t="s">
        <v>287</v>
      </c>
      <c r="C15" s="1018"/>
    </row>
    <row r="16" spans="2:3" ht="22.5">
      <c r="B16" s="257" t="s">
        <v>265</v>
      </c>
      <c r="C16" s="245">
        <v>0</v>
      </c>
    </row>
    <row r="17" spans="2:3" ht="22.5">
      <c r="B17" s="258" t="s">
        <v>266</v>
      </c>
      <c r="C17" s="247">
        <v>0</v>
      </c>
    </row>
    <row r="18" spans="2:3" ht="22.5">
      <c r="B18" s="258" t="s">
        <v>267</v>
      </c>
      <c r="C18" s="247">
        <v>0</v>
      </c>
    </row>
    <row r="19" spans="2:3" ht="22.5">
      <c r="B19" s="258" t="s">
        <v>274</v>
      </c>
      <c r="C19" s="247">
        <v>0</v>
      </c>
    </row>
    <row r="20" spans="2:3" ht="22.5">
      <c r="B20" s="258" t="s">
        <v>275</v>
      </c>
      <c r="C20" s="247">
        <v>0</v>
      </c>
    </row>
    <row r="21" spans="2:3" ht="23.25" thickBot="1">
      <c r="B21" s="259" t="s">
        <v>280</v>
      </c>
      <c r="C21" s="248">
        <v>0</v>
      </c>
    </row>
    <row r="22" spans="2:3" ht="23.25" thickBot="1">
      <c r="B22" s="260" t="s">
        <v>276</v>
      </c>
      <c r="C22" s="261">
        <v>0</v>
      </c>
    </row>
    <row r="23" spans="2:3" ht="23.25" thickBot="1">
      <c r="B23" s="262" t="s">
        <v>277</v>
      </c>
      <c r="C23" s="256" t="e">
        <f>C22/SUM(C16:C21)</f>
        <v>#DIV/0!</v>
      </c>
    </row>
    <row r="24" spans="2:3" ht="15" thickBot="1"/>
    <row r="25" spans="2:3" ht="28.5" thickBot="1">
      <c r="B25" s="1021" t="s">
        <v>285</v>
      </c>
      <c r="C25" s="1022"/>
    </row>
    <row r="26" spans="2:3" ht="22.5">
      <c r="B26" s="1015" t="s">
        <v>273</v>
      </c>
      <c r="C26" s="1016"/>
    </row>
    <row r="27" spans="2:3" ht="23.25" thickBot="1">
      <c r="B27" s="1017" t="s">
        <v>287</v>
      </c>
      <c r="C27" s="1018"/>
    </row>
    <row r="28" spans="2:3" ht="22.5">
      <c r="B28" s="257" t="s">
        <v>265</v>
      </c>
      <c r="C28" s="328">
        <v>0</v>
      </c>
    </row>
    <row r="29" spans="2:3" ht="23.25" thickBot="1">
      <c r="B29" s="260" t="s">
        <v>286</v>
      </c>
      <c r="C29" s="328">
        <v>0</v>
      </c>
    </row>
    <row r="30" spans="2:3" ht="23.25" thickBot="1">
      <c r="B30" s="262" t="s">
        <v>277</v>
      </c>
      <c r="C30" s="256" t="e">
        <f>C29/C28</f>
        <v>#DIV/0!</v>
      </c>
    </row>
  </sheetData>
  <mergeCells count="9">
    <mergeCell ref="B26:C26"/>
    <mergeCell ref="B27:C27"/>
    <mergeCell ref="B3:C3"/>
    <mergeCell ref="B4:C4"/>
    <mergeCell ref="B2:C2"/>
    <mergeCell ref="B13:C13"/>
    <mergeCell ref="B14:C14"/>
    <mergeCell ref="B15:C15"/>
    <mergeCell ref="B25:C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060"/>
    <pageSetUpPr fitToPage="1"/>
  </sheetPr>
  <dimension ref="A1:N26"/>
  <sheetViews>
    <sheetView rightToLeft="1" zoomScaleNormal="100" workbookViewId="0">
      <selection activeCell="H19" sqref="H19"/>
    </sheetView>
  </sheetViews>
  <sheetFormatPr defaultRowHeight="14.25"/>
  <cols>
    <col min="1" max="1" width="9" style="631"/>
    <col min="2" max="2" width="17.125" style="631" customWidth="1"/>
    <col min="3" max="8" width="10.625" style="631" customWidth="1"/>
    <col min="9" max="9" width="9" style="631"/>
    <col min="10" max="10" width="17.375" style="631" customWidth="1"/>
    <col min="11" max="11" width="9" style="631"/>
    <col min="12" max="12" width="46.75" style="631" customWidth="1"/>
    <col min="13" max="13" width="9" style="631"/>
    <col min="14" max="14" width="33.375" style="631" bestFit="1" customWidth="1"/>
    <col min="15" max="15" width="10.625" style="631" bestFit="1" customWidth="1"/>
    <col min="16" max="16384" width="9" style="631"/>
  </cols>
  <sheetData>
    <row r="1" spans="1:14" ht="32.25" customHeight="1" thickBot="1">
      <c r="A1" s="630"/>
      <c r="B1" s="630"/>
      <c r="C1" s="676" t="s">
        <v>465</v>
      </c>
      <c r="D1" s="676"/>
      <c r="E1" s="676"/>
      <c r="F1" s="676" t="s">
        <v>464</v>
      </c>
      <c r="G1" s="676"/>
      <c r="H1" s="676"/>
      <c r="I1" s="630"/>
      <c r="J1" s="630"/>
      <c r="K1" s="630"/>
      <c r="L1" s="630"/>
      <c r="M1" s="630"/>
      <c r="N1" s="630"/>
    </row>
    <row r="2" spans="1:14" ht="28.5" customHeight="1" thickBot="1">
      <c r="A2" s="630"/>
      <c r="B2" s="542" t="s">
        <v>462</v>
      </c>
      <c r="C2" s="542" t="s">
        <v>460</v>
      </c>
      <c r="D2" s="540" t="s">
        <v>116</v>
      </c>
      <c r="E2" s="541" t="s">
        <v>115</v>
      </c>
      <c r="F2" s="542" t="s">
        <v>460</v>
      </c>
      <c r="G2" s="540" t="s">
        <v>116</v>
      </c>
      <c r="H2" s="541" t="s">
        <v>115</v>
      </c>
      <c r="I2" s="630"/>
      <c r="J2" s="630"/>
      <c r="K2" s="630"/>
      <c r="L2" s="630"/>
      <c r="M2" s="630"/>
      <c r="N2" s="630"/>
    </row>
    <row r="3" spans="1:14" ht="28.5" customHeight="1" thickBot="1">
      <c r="A3" s="630"/>
      <c r="B3" s="432" t="s">
        <v>527</v>
      </c>
      <c r="C3" s="431">
        <f>'کاربرگ ورود اطلاعات'!C7</f>
        <v>0</v>
      </c>
      <c r="D3" s="430">
        <f>'کاربرگ ورود اطلاعات'!D7</f>
        <v>0</v>
      </c>
      <c r="E3" s="429">
        <f>'کاربرگ ورود اطلاعات'!E7</f>
        <v>0</v>
      </c>
      <c r="F3" s="431">
        <v>1</v>
      </c>
      <c r="G3" s="430">
        <v>12</v>
      </c>
      <c r="H3" s="429">
        <v>1398</v>
      </c>
      <c r="I3" s="630"/>
      <c r="J3" s="630"/>
      <c r="K3" s="630"/>
      <c r="L3" s="630"/>
      <c r="M3" s="630"/>
      <c r="N3" s="630"/>
    </row>
    <row r="4" spans="1:14" ht="21.75" customHeight="1" thickBot="1">
      <c r="A4" s="630"/>
      <c r="B4" s="630"/>
      <c r="C4" s="630"/>
      <c r="D4" s="630"/>
      <c r="E4" s="630"/>
      <c r="F4" s="630"/>
      <c r="G4" s="630"/>
      <c r="H4" s="630"/>
      <c r="I4" s="630"/>
      <c r="J4" s="630"/>
      <c r="K4" s="630"/>
      <c r="L4" s="630"/>
      <c r="M4" s="630"/>
      <c r="N4" s="630"/>
    </row>
    <row r="5" spans="1:14" ht="29.25" customHeight="1" thickBot="1">
      <c r="A5" s="630"/>
      <c r="B5" s="681" t="s">
        <v>462</v>
      </c>
      <c r="C5" s="682"/>
      <c r="D5" s="682"/>
      <c r="E5" s="682"/>
      <c r="F5" s="548" t="s">
        <v>460</v>
      </c>
      <c r="G5" s="548" t="s">
        <v>116</v>
      </c>
      <c r="H5" s="549" t="s">
        <v>115</v>
      </c>
      <c r="I5" s="630"/>
      <c r="J5" s="630"/>
      <c r="K5" s="630"/>
      <c r="L5" s="630"/>
      <c r="M5" s="630"/>
      <c r="N5" s="630"/>
    </row>
    <row r="6" spans="1:14" ht="27" customHeight="1">
      <c r="A6" s="630"/>
      <c r="B6" s="677" t="s">
        <v>530</v>
      </c>
      <c r="C6" s="678"/>
      <c r="D6" s="678"/>
      <c r="E6" s="678"/>
      <c r="F6" s="442">
        <f>Sheet1!Q82</f>
        <v>1</v>
      </c>
      <c r="G6" s="442">
        <f>Sheet1!R82</f>
        <v>0</v>
      </c>
      <c r="H6" s="441">
        <f>Sheet1!S82</f>
        <v>1399</v>
      </c>
      <c r="I6" s="630"/>
      <c r="J6" s="630"/>
      <c r="K6" s="630"/>
      <c r="L6" s="630"/>
      <c r="M6" s="630"/>
      <c r="N6" s="630"/>
    </row>
    <row r="7" spans="1:14" ht="27.75" customHeight="1" thickBot="1">
      <c r="A7" s="630"/>
      <c r="B7" s="679" t="s">
        <v>531</v>
      </c>
      <c r="C7" s="680"/>
      <c r="D7" s="680"/>
      <c r="E7" s="680"/>
      <c r="F7" s="430">
        <f>Sheet1!W92</f>
        <v>1</v>
      </c>
      <c r="G7" s="430">
        <f>Sheet1!X92</f>
        <v>0</v>
      </c>
      <c r="H7" s="429">
        <f>Sheet1!Y92</f>
        <v>1399</v>
      </c>
      <c r="I7" s="630"/>
      <c r="J7" s="630"/>
      <c r="K7" s="630"/>
      <c r="L7" s="630"/>
      <c r="M7" s="630"/>
      <c r="N7" s="630"/>
    </row>
    <row r="8" spans="1:14" ht="26.25" customHeight="1" thickBot="1">
      <c r="A8" s="630"/>
      <c r="B8" s="669" t="s">
        <v>534</v>
      </c>
      <c r="C8" s="669"/>
      <c r="D8" s="669"/>
      <c r="E8" s="669"/>
      <c r="F8" s="669"/>
      <c r="G8" s="669"/>
      <c r="H8" s="669"/>
      <c r="I8" s="630"/>
      <c r="J8" s="630"/>
      <c r="K8" s="630"/>
      <c r="L8" s="630"/>
      <c r="M8" s="630"/>
      <c r="N8" s="630"/>
    </row>
    <row r="9" spans="1:14" ht="21" thickBot="1">
      <c r="A9" s="630"/>
      <c r="B9" s="672" t="s">
        <v>332</v>
      </c>
      <c r="C9" s="673"/>
      <c r="D9" s="673"/>
      <c r="E9" s="673"/>
      <c r="F9" s="673"/>
      <c r="G9" s="516" t="s">
        <v>454</v>
      </c>
      <c r="H9" s="517" t="s">
        <v>1</v>
      </c>
      <c r="I9" s="630"/>
      <c r="J9" s="630"/>
      <c r="K9" s="630"/>
      <c r="L9" s="630"/>
      <c r="M9" s="630"/>
      <c r="N9" s="630"/>
    </row>
    <row r="10" spans="1:14" ht="24.75" customHeight="1">
      <c r="A10" s="630"/>
      <c r="B10" s="674" t="s">
        <v>543</v>
      </c>
      <c r="C10" s="675"/>
      <c r="D10" s="675"/>
      <c r="E10" s="675"/>
      <c r="F10" s="675"/>
      <c r="G10" s="599">
        <f>Sheet1!K14</f>
        <v>5</v>
      </c>
      <c r="H10" s="601">
        <f>Sheet1!L14</f>
        <v>3200</v>
      </c>
      <c r="I10" s="630"/>
      <c r="J10" s="630"/>
      <c r="K10" s="630"/>
      <c r="L10" s="630"/>
      <c r="M10" s="630"/>
      <c r="N10" s="630"/>
    </row>
    <row r="11" spans="1:14" ht="25.5" customHeight="1">
      <c r="A11" s="630"/>
      <c r="B11" s="665" t="s">
        <v>532</v>
      </c>
      <c r="C11" s="666"/>
      <c r="D11" s="666"/>
      <c r="E11" s="666"/>
      <c r="F11" s="666"/>
      <c r="G11" s="543">
        <f>Sheet1!S11</f>
        <v>6</v>
      </c>
      <c r="H11" s="544">
        <f>G11*200</f>
        <v>1200</v>
      </c>
      <c r="I11" s="630"/>
      <c r="J11" s="630"/>
      <c r="K11" s="630"/>
      <c r="L11" s="630"/>
      <c r="M11" s="630"/>
      <c r="N11" s="630"/>
    </row>
    <row r="12" spans="1:14" ht="25.5" customHeight="1">
      <c r="A12" s="630"/>
      <c r="B12" s="665" t="s">
        <v>505</v>
      </c>
      <c r="C12" s="666"/>
      <c r="D12" s="666"/>
      <c r="E12" s="666"/>
      <c r="F12" s="666"/>
      <c r="G12" s="543">
        <f>IF('کاربرگ ورود اطلاعات'!F21="بلی",1,0)</f>
        <v>0</v>
      </c>
      <c r="H12" s="544">
        <f>G12*200</f>
        <v>0</v>
      </c>
      <c r="I12" s="630"/>
      <c r="J12" s="630"/>
      <c r="K12" s="630"/>
      <c r="L12" s="630"/>
      <c r="M12" s="630"/>
      <c r="N12" s="630"/>
    </row>
    <row r="13" spans="1:14" ht="25.5" customHeight="1" thickBot="1">
      <c r="A13" s="630"/>
      <c r="B13" s="667" t="s">
        <v>533</v>
      </c>
      <c r="C13" s="668"/>
      <c r="D13" s="668"/>
      <c r="E13" s="668"/>
      <c r="F13" s="668"/>
      <c r="G13" s="600">
        <f>Sheet1!S24</f>
        <v>2</v>
      </c>
      <c r="H13" s="602">
        <f>Sheet1!T24</f>
        <v>600</v>
      </c>
      <c r="I13" s="630"/>
      <c r="J13" s="630"/>
      <c r="K13" s="630"/>
      <c r="L13" s="630"/>
      <c r="M13" s="630"/>
      <c r="N13" s="630"/>
    </row>
    <row r="14" spans="1:14" ht="25.5" customHeight="1" thickBot="1">
      <c r="A14" s="630"/>
      <c r="B14" s="670" t="s">
        <v>528</v>
      </c>
      <c r="C14" s="671"/>
      <c r="D14" s="671"/>
      <c r="E14" s="671"/>
      <c r="F14" s="671"/>
      <c r="G14" s="671"/>
      <c r="H14" s="603">
        <f>SUM(H10:H13)</f>
        <v>5000</v>
      </c>
      <c r="I14" s="630"/>
      <c r="J14" s="630"/>
      <c r="K14" s="630"/>
      <c r="L14" s="630"/>
      <c r="M14" s="630"/>
      <c r="N14" s="630"/>
    </row>
    <row r="15" spans="1:14" ht="24" customHeight="1" thickBot="1">
      <c r="A15" s="630"/>
      <c r="B15" s="630"/>
      <c r="C15" s="630"/>
      <c r="D15" s="630"/>
      <c r="E15" s="630"/>
      <c r="F15" s="630"/>
      <c r="G15" s="630"/>
      <c r="H15" s="630"/>
      <c r="I15" s="630"/>
      <c r="J15" s="630"/>
      <c r="K15" s="630"/>
      <c r="L15" s="630"/>
      <c r="M15" s="630"/>
      <c r="N15" s="630"/>
    </row>
    <row r="16" spans="1:14" ht="24" customHeight="1">
      <c r="A16" s="630"/>
      <c r="B16" s="630"/>
      <c r="C16" s="630"/>
      <c r="D16" s="630"/>
      <c r="E16" s="659" t="s">
        <v>526</v>
      </c>
      <c r="F16" s="660"/>
      <c r="G16" s="660"/>
      <c r="H16" s="550" t="s">
        <v>525</v>
      </c>
      <c r="I16" s="630"/>
      <c r="J16" s="630"/>
      <c r="K16" s="630"/>
      <c r="L16" s="630"/>
      <c r="M16" s="630"/>
      <c r="N16" s="630"/>
    </row>
    <row r="17" spans="1:14" ht="24" customHeight="1">
      <c r="A17" s="630"/>
      <c r="B17" s="630"/>
      <c r="C17" s="630"/>
      <c r="D17" s="630"/>
      <c r="E17" s="661" t="s">
        <v>536</v>
      </c>
      <c r="F17" s="662"/>
      <c r="G17" s="662"/>
      <c r="H17" s="588" t="s">
        <v>525</v>
      </c>
      <c r="I17" s="630"/>
      <c r="J17" s="630"/>
      <c r="K17" s="630"/>
      <c r="L17" s="630"/>
      <c r="M17" s="630"/>
      <c r="N17" s="630"/>
    </row>
    <row r="18" spans="1:14" ht="24" customHeight="1">
      <c r="A18" s="630"/>
      <c r="B18" s="630"/>
      <c r="C18" s="630"/>
      <c r="D18" s="630"/>
      <c r="E18" s="661" t="s">
        <v>554</v>
      </c>
      <c r="F18" s="662"/>
      <c r="G18" s="662"/>
      <c r="H18" s="588" t="s">
        <v>525</v>
      </c>
      <c r="I18" s="630"/>
      <c r="J18" s="630"/>
      <c r="K18" s="630"/>
      <c r="L18" s="630"/>
      <c r="M18" s="630"/>
      <c r="N18" s="630"/>
    </row>
    <row r="19" spans="1:14" ht="24" customHeight="1" thickBot="1">
      <c r="A19" s="630"/>
      <c r="B19" s="630"/>
      <c r="C19" s="630"/>
      <c r="D19" s="630"/>
      <c r="E19" s="663" t="s">
        <v>537</v>
      </c>
      <c r="F19" s="664"/>
      <c r="G19" s="664"/>
      <c r="H19" s="589" t="s">
        <v>525</v>
      </c>
      <c r="I19" s="630"/>
      <c r="J19" s="630"/>
      <c r="K19" s="630"/>
      <c r="L19" s="630"/>
      <c r="M19" s="630"/>
      <c r="N19" s="630"/>
    </row>
    <row r="20" spans="1:14" ht="24" customHeight="1">
      <c r="A20" s="630"/>
      <c r="B20" s="630"/>
      <c r="C20" s="630"/>
      <c r="D20" s="630"/>
      <c r="E20" s="630"/>
      <c r="F20" s="630"/>
      <c r="G20" s="630"/>
      <c r="H20" s="630"/>
      <c r="I20" s="630"/>
      <c r="J20" s="630"/>
      <c r="K20" s="630"/>
      <c r="L20" s="630"/>
      <c r="M20" s="630"/>
      <c r="N20" s="630"/>
    </row>
    <row r="21" spans="1:14" ht="24" customHeight="1">
      <c r="A21" s="630"/>
      <c r="B21" s="630"/>
      <c r="C21" s="630"/>
      <c r="D21" s="630"/>
      <c r="E21" s="630"/>
      <c r="F21" s="630"/>
      <c r="G21" s="630"/>
      <c r="H21" s="630"/>
      <c r="I21" s="630"/>
      <c r="J21" s="630"/>
      <c r="K21" s="630"/>
      <c r="L21" s="630"/>
      <c r="M21" s="630"/>
      <c r="N21" s="630"/>
    </row>
    <row r="22" spans="1:14" ht="193.5" customHeight="1">
      <c r="A22" s="630"/>
      <c r="B22" s="630"/>
      <c r="C22" s="630"/>
      <c r="D22" s="630"/>
      <c r="E22" s="630"/>
      <c r="F22" s="630"/>
      <c r="G22" s="630"/>
      <c r="H22" s="630"/>
      <c r="I22" s="630"/>
      <c r="J22" s="630"/>
      <c r="K22" s="630"/>
      <c r="L22" s="630"/>
      <c r="M22" s="630"/>
      <c r="N22" s="630"/>
    </row>
    <row r="23" spans="1:14">
      <c r="A23" s="630"/>
      <c r="B23" s="630"/>
      <c r="C23" s="630"/>
      <c r="D23" s="630"/>
      <c r="E23" s="630"/>
      <c r="F23" s="630"/>
      <c r="G23" s="630"/>
      <c r="H23" s="630"/>
      <c r="I23" s="630"/>
      <c r="J23" s="630"/>
      <c r="K23" s="630"/>
      <c r="L23" s="630"/>
    </row>
    <row r="24" spans="1:14">
      <c r="A24" s="630"/>
      <c r="B24" s="630"/>
      <c r="C24" s="630"/>
      <c r="D24" s="630"/>
      <c r="E24" s="630"/>
      <c r="F24" s="630"/>
      <c r="G24" s="630"/>
      <c r="H24" s="630"/>
      <c r="I24" s="630"/>
      <c r="J24" s="630"/>
      <c r="K24" s="630"/>
      <c r="L24" s="630"/>
    </row>
    <row r="25" spans="1:14">
      <c r="A25" s="630"/>
      <c r="B25" s="630"/>
      <c r="C25" s="630"/>
      <c r="D25" s="630"/>
      <c r="E25" s="630"/>
      <c r="F25" s="630"/>
      <c r="G25" s="630"/>
      <c r="H25" s="630"/>
      <c r="I25" s="630"/>
      <c r="J25" s="630"/>
      <c r="K25" s="630"/>
      <c r="L25" s="630"/>
    </row>
    <row r="26" spans="1:14">
      <c r="A26" s="630"/>
      <c r="B26" s="630"/>
      <c r="C26" s="630"/>
      <c r="D26" s="630"/>
      <c r="E26" s="630"/>
      <c r="F26" s="630"/>
      <c r="G26" s="630"/>
      <c r="H26" s="630"/>
      <c r="I26" s="630"/>
      <c r="J26" s="630"/>
      <c r="K26" s="630"/>
      <c r="L26" s="630"/>
    </row>
  </sheetData>
  <sheetProtection algorithmName="SHA-512" hashValue="Mk/5SM61lcMav+XQ/69NaSA6Mdsr+jrFTpAfo60kcHcVmdZctgtVW5yvqrbsvghbAaP009GL22hKYCAAHcTYng==" saltValue="0dOzUAX0vZTBSKKsWdVptQ==" spinCount="100000" sheet="1" formatCells="0" formatColumns="0" formatRows="0" insertColumns="0" insertRows="0" insertHyperlinks="0" deleteColumns="0" deleteRows="0" sort="0" autoFilter="0" pivotTables="0"/>
  <mergeCells count="16">
    <mergeCell ref="B8:H8"/>
    <mergeCell ref="B14:G14"/>
    <mergeCell ref="B9:F9"/>
    <mergeCell ref="B10:F10"/>
    <mergeCell ref="F1:H1"/>
    <mergeCell ref="C1:E1"/>
    <mergeCell ref="B6:E6"/>
    <mergeCell ref="B7:E7"/>
    <mergeCell ref="B5:E5"/>
    <mergeCell ref="E16:G16"/>
    <mergeCell ref="E17:G17"/>
    <mergeCell ref="E18:G18"/>
    <mergeCell ref="E19:G19"/>
    <mergeCell ref="B11:F11"/>
    <mergeCell ref="B12:F12"/>
    <mergeCell ref="B13:F13"/>
  </mergeCells>
  <dataValidations count="2">
    <dataValidation type="list" allowBlank="1" showInputMessage="1" showErrorMessage="1" sqref="C3:D3 F3:G3">
      <formula1>$O$1:$O$10</formula1>
    </dataValidation>
    <dataValidation type="list" allowBlank="1" showInputMessage="1" showErrorMessage="1" sqref="E3 H3">
      <formula1>$C$1:$C$50</formula1>
    </dataValidation>
  </dataValidations>
  <hyperlinks>
    <hyperlink ref="H17" location="'جدول محاسبه حق شاغل'!A1" display="ورود"/>
    <hyperlink ref="H18" location="'کاربرگ ورود اطلاعات'!A1" display="ورود"/>
    <hyperlink ref="H19" location="'کاربرگ قرارداد'!A1" display="ورود"/>
    <hyperlink ref="H16" location="'جدول محاسبات'!A1" display="ورود"/>
  </hyperlinks>
  <printOptions horizontalCentered="1" verticalCentered="1"/>
  <pageMargins left="0.31496062992125984" right="0.31496062992125984" top="0.35433070866141736" bottom="0.35433070866141736" header="0" footer="0"/>
  <pageSetup paperSize="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V150"/>
  <sheetViews>
    <sheetView rightToLeft="1" topLeftCell="A2" zoomScaleNormal="100" workbookViewId="0">
      <selection activeCell="E22" sqref="E22"/>
    </sheetView>
  </sheetViews>
  <sheetFormatPr defaultRowHeight="18"/>
  <cols>
    <col min="1" max="1" width="5.5" style="633" customWidth="1"/>
    <col min="2" max="2" width="12.25" style="633" customWidth="1"/>
    <col min="3" max="3" width="8" style="633" bestFit="1" customWidth="1"/>
    <col min="4" max="4" width="15.875" style="633" customWidth="1"/>
    <col min="5" max="5" width="10.375" style="633" bestFit="1" customWidth="1"/>
    <col min="6" max="6" width="8.375" style="633" customWidth="1"/>
    <col min="7" max="7" width="12.375" style="633" bestFit="1" customWidth="1"/>
    <col min="8" max="8" width="8.25" style="633" customWidth="1"/>
    <col min="9" max="9" width="9.625" style="633" bestFit="1" customWidth="1"/>
    <col min="10" max="10" width="9" style="633" customWidth="1"/>
    <col min="11" max="11" width="21.625" style="633" customWidth="1"/>
    <col min="12" max="12" width="77.75" style="633" customWidth="1"/>
    <col min="13" max="13" width="16.125" style="633" customWidth="1"/>
    <col min="14" max="14" width="15.375" style="633" customWidth="1"/>
    <col min="15" max="15" width="17.25" style="633" customWidth="1"/>
    <col min="16" max="16" width="24.125" style="633" bestFit="1" customWidth="1"/>
    <col min="17" max="19" width="9" style="633"/>
    <col min="20" max="20" width="28.125" style="633" customWidth="1"/>
    <col min="21" max="21" width="16.75" style="633" customWidth="1"/>
    <col min="22" max="22" width="18.125" style="633" customWidth="1"/>
    <col min="23" max="23" width="21.375" style="633" customWidth="1"/>
    <col min="24" max="16384" width="9" style="633"/>
  </cols>
  <sheetData>
    <row r="1" spans="1:12" ht="37.5" customHeight="1" thickBot="1">
      <c r="A1" s="632"/>
      <c r="B1" s="683" t="s">
        <v>311</v>
      </c>
      <c r="C1" s="683"/>
      <c r="D1" s="683"/>
      <c r="E1" s="683"/>
      <c r="F1" s="683"/>
      <c r="G1" s="683"/>
      <c r="H1" s="683"/>
      <c r="I1" s="683"/>
      <c r="J1" s="683"/>
      <c r="K1" s="632"/>
      <c r="L1" s="632"/>
    </row>
    <row r="2" spans="1:12" ht="24.75" thickBot="1">
      <c r="A2" s="632"/>
      <c r="B2" s="686" t="s">
        <v>104</v>
      </c>
      <c r="C2" s="687"/>
      <c r="D2" s="634" t="s">
        <v>1</v>
      </c>
      <c r="E2" s="634" t="s">
        <v>105</v>
      </c>
      <c r="F2" s="634" t="s">
        <v>1</v>
      </c>
      <c r="G2" s="634" t="s">
        <v>106</v>
      </c>
      <c r="H2" s="634" t="s">
        <v>1</v>
      </c>
      <c r="I2" s="634" t="s">
        <v>107</v>
      </c>
      <c r="J2" s="635" t="s">
        <v>1</v>
      </c>
      <c r="K2" s="632"/>
      <c r="L2" s="632"/>
    </row>
    <row r="3" spans="1:12" ht="22.5">
      <c r="A3" s="632"/>
      <c r="B3" s="575" t="s">
        <v>108</v>
      </c>
      <c r="C3" s="576">
        <v>1100</v>
      </c>
      <c r="D3" s="552">
        <f>IF(B3='کاربرگ ورود اطلاعات'!I8,C3,0)</f>
        <v>0</v>
      </c>
      <c r="E3" s="576">
        <v>200</v>
      </c>
      <c r="F3" s="552">
        <f>IF(B3='کاربرگ ورود اطلاعات'!I8,E3,0)</f>
        <v>0</v>
      </c>
      <c r="G3" s="577">
        <v>10</v>
      </c>
      <c r="H3" s="552">
        <f>IF(B3='کاربرگ ورود اطلاعات'!I8,G3,0)</f>
        <v>0</v>
      </c>
      <c r="I3" s="578">
        <v>8</v>
      </c>
      <c r="J3" s="553">
        <f>IF(B3='کاربرگ ورود اطلاعات'!I8,I3,0)</f>
        <v>0</v>
      </c>
      <c r="K3" s="632"/>
      <c r="L3" s="632"/>
    </row>
    <row r="4" spans="1:12" ht="22.5">
      <c r="A4" s="632"/>
      <c r="B4" s="104" t="s">
        <v>109</v>
      </c>
      <c r="C4" s="579">
        <v>1200</v>
      </c>
      <c r="D4" s="554">
        <f>IF(B4='کاربرگ ورود اطلاعات'!I8,C4,0)</f>
        <v>0</v>
      </c>
      <c r="E4" s="579">
        <v>250</v>
      </c>
      <c r="F4" s="554">
        <f>IF(B4='کاربرگ ورود اطلاعات'!I8,E4,0)</f>
        <v>0</v>
      </c>
      <c r="G4" s="580">
        <v>15</v>
      </c>
      <c r="H4" s="554">
        <f>IF(B4='کاربرگ ورود اطلاعات'!I8,G4,0)</f>
        <v>0</v>
      </c>
      <c r="I4" s="581">
        <v>10</v>
      </c>
      <c r="J4" s="555">
        <f>IF(B4='کاربرگ ورود اطلاعات'!I8,I4,0)</f>
        <v>0</v>
      </c>
      <c r="K4" s="632"/>
      <c r="L4" s="632"/>
    </row>
    <row r="5" spans="1:12" ht="22.5">
      <c r="A5" s="632"/>
      <c r="B5" s="104" t="s">
        <v>110</v>
      </c>
      <c r="C5" s="579">
        <v>1400</v>
      </c>
      <c r="D5" s="554">
        <f>IF(B5='کاربرگ ورود اطلاعات'!I8,C5,0)</f>
        <v>0</v>
      </c>
      <c r="E5" s="579">
        <v>300</v>
      </c>
      <c r="F5" s="554">
        <f>IF(B5='کاربرگ ورود اطلاعات'!I8,E5,0)</f>
        <v>0</v>
      </c>
      <c r="G5" s="580">
        <v>20</v>
      </c>
      <c r="H5" s="554">
        <f>IF(B5='کاربرگ ورود اطلاعات'!I8,G5,0)</f>
        <v>0</v>
      </c>
      <c r="I5" s="581">
        <v>12</v>
      </c>
      <c r="J5" s="555">
        <f>IF(B5='کاربرگ ورود اطلاعات'!I8,I5,0)</f>
        <v>0</v>
      </c>
      <c r="K5" s="632"/>
      <c r="L5" s="632"/>
    </row>
    <row r="6" spans="1:12" ht="22.5">
      <c r="A6" s="632"/>
      <c r="B6" s="104" t="s">
        <v>111</v>
      </c>
      <c r="C6" s="579">
        <v>1700</v>
      </c>
      <c r="D6" s="554">
        <f>IF(B6='کاربرگ ورود اطلاعات'!I8,C6,0)</f>
        <v>1700</v>
      </c>
      <c r="E6" s="579">
        <v>400</v>
      </c>
      <c r="F6" s="554">
        <f>IF(B6='کاربرگ ورود اطلاعات'!I8,E6,0)</f>
        <v>400</v>
      </c>
      <c r="G6" s="580">
        <v>25</v>
      </c>
      <c r="H6" s="554">
        <f>IF(B6='کاربرگ ورود اطلاعات'!I8,G6,0)</f>
        <v>25</v>
      </c>
      <c r="I6" s="581">
        <v>14</v>
      </c>
      <c r="J6" s="555">
        <f>IF(B6='کاربرگ ورود اطلاعات'!I8,I6,0)</f>
        <v>14</v>
      </c>
      <c r="K6" s="632"/>
      <c r="L6" s="632"/>
    </row>
    <row r="7" spans="1:12" ht="22.5">
      <c r="A7" s="632"/>
      <c r="B7" s="104" t="s">
        <v>112</v>
      </c>
      <c r="C7" s="579">
        <v>2000</v>
      </c>
      <c r="D7" s="554">
        <f>IF(B7='کاربرگ ورود اطلاعات'!I8,C7,0)</f>
        <v>0</v>
      </c>
      <c r="E7" s="579">
        <v>600</v>
      </c>
      <c r="F7" s="554">
        <f>IF(B7='کاربرگ ورود اطلاعات'!I8,E7,0)</f>
        <v>0</v>
      </c>
      <c r="G7" s="580">
        <v>30</v>
      </c>
      <c r="H7" s="554">
        <f>IF(B7='کاربرگ ورود اطلاعات'!I8,G7,0)</f>
        <v>0</v>
      </c>
      <c r="I7" s="581">
        <v>16</v>
      </c>
      <c r="J7" s="555">
        <f>IF(B7='کاربرگ ورود اطلاعات'!I8,I7,0)</f>
        <v>0</v>
      </c>
      <c r="K7" s="632"/>
      <c r="L7" s="632"/>
    </row>
    <row r="8" spans="1:12" ht="22.5">
      <c r="A8" s="632"/>
      <c r="B8" s="104" t="s">
        <v>113</v>
      </c>
      <c r="C8" s="579">
        <v>2300</v>
      </c>
      <c r="D8" s="554">
        <f>IF(B8='کاربرگ ورود اطلاعات'!I8,C8,0)</f>
        <v>0</v>
      </c>
      <c r="E8" s="579">
        <v>800</v>
      </c>
      <c r="F8" s="554">
        <f>IF(B8='کاربرگ ورود اطلاعات'!I8,E8,0)</f>
        <v>0</v>
      </c>
      <c r="G8" s="580">
        <v>35</v>
      </c>
      <c r="H8" s="554">
        <f>IF(B8='کاربرگ ورود اطلاعات'!I8,G8,0)</f>
        <v>0</v>
      </c>
      <c r="I8" s="581">
        <v>18</v>
      </c>
      <c r="J8" s="555">
        <f>IF(B8='کاربرگ ورود اطلاعات'!I8,I8,0)</f>
        <v>0</v>
      </c>
      <c r="K8" s="632"/>
      <c r="L8" s="632"/>
    </row>
    <row r="9" spans="1:12" ht="24.75" thickBot="1">
      <c r="A9" s="632"/>
      <c r="B9" s="684" t="s">
        <v>283</v>
      </c>
      <c r="C9" s="685"/>
      <c r="D9" s="582">
        <f>SUM(D3:D8)</f>
        <v>1700</v>
      </c>
      <c r="E9" s="583" t="s">
        <v>284</v>
      </c>
      <c r="F9" s="582">
        <f>SUM(F3:F8)</f>
        <v>400</v>
      </c>
      <c r="G9" s="584"/>
      <c r="H9" s="585">
        <f>SUM(H3:H8)</f>
        <v>25</v>
      </c>
      <c r="I9" s="586"/>
      <c r="J9" s="587">
        <f>SUM(J3:J8)</f>
        <v>14</v>
      </c>
      <c r="K9" s="632"/>
      <c r="L9" s="632"/>
    </row>
    <row r="10" spans="1:12" ht="23.25" thickBot="1">
      <c r="A10" s="632"/>
      <c r="B10" s="551"/>
      <c r="C10" s="518"/>
      <c r="D10" s="518"/>
      <c r="E10" s="518"/>
      <c r="F10" s="518"/>
      <c r="G10" s="518" t="s">
        <v>115</v>
      </c>
      <c r="H10" s="552">
        <f>IF(محاسبات!E137&gt;30,30,محاسبات!E137)</f>
        <v>30</v>
      </c>
      <c r="I10" s="518" t="s">
        <v>115</v>
      </c>
      <c r="J10" s="553">
        <f>IF(محاسبات!E139&gt;29,30,محاسبات!E139)</f>
        <v>30</v>
      </c>
      <c r="K10" s="632"/>
      <c r="L10" s="632"/>
    </row>
    <row r="11" spans="1:12" ht="23.25" thickBot="1">
      <c r="A11" s="632"/>
      <c r="B11" s="573"/>
      <c r="C11" s="688" t="s">
        <v>294</v>
      </c>
      <c r="D11" s="689"/>
      <c r="E11" s="574">
        <f>SUM(J16,J14,H14,F9,D9)</f>
        <v>3270</v>
      </c>
      <c r="F11" s="518"/>
      <c r="G11" s="518" t="s">
        <v>116</v>
      </c>
      <c r="H11" s="554">
        <f>IF(محاسبات!E137&gt;29,0,محاسبات!E138)</f>
        <v>0</v>
      </c>
      <c r="I11" s="518" t="s">
        <v>116</v>
      </c>
      <c r="J11" s="555">
        <f>IF(محاسبات!E139&gt;29,0,محاسبات!E140)</f>
        <v>0</v>
      </c>
      <c r="K11" s="632"/>
      <c r="L11" s="632"/>
    </row>
    <row r="12" spans="1:12" ht="23.25" customHeight="1">
      <c r="A12" s="632"/>
      <c r="B12" s="551"/>
      <c r="C12" s="518"/>
      <c r="D12" s="518" t="s">
        <v>119</v>
      </c>
      <c r="E12" s="556">
        <f>IF(محاسبات!F1=محاسبات!E146,محاسبات!E72,محاسبات!E71)</f>
        <v>0</v>
      </c>
      <c r="F12" s="518"/>
      <c r="G12" s="518"/>
      <c r="H12" s="557">
        <f>H10*H9</f>
        <v>750</v>
      </c>
      <c r="I12" s="518"/>
      <c r="J12" s="558">
        <f>J10*J9</f>
        <v>420</v>
      </c>
      <c r="K12" s="632"/>
      <c r="L12" s="632"/>
    </row>
    <row r="13" spans="1:12" ht="22.5" customHeight="1">
      <c r="A13" s="632"/>
      <c r="B13" s="551"/>
      <c r="C13" s="518"/>
      <c r="D13" s="518" t="s">
        <v>295</v>
      </c>
      <c r="E13" s="556">
        <f>IF(محاسبات!F1=محاسبات!E146,محاسبات!F72,محاسبات!F71)</f>
        <v>0</v>
      </c>
      <c r="F13" s="518"/>
      <c r="G13" s="518"/>
      <c r="H13" s="559">
        <f>(H11/12)*H9</f>
        <v>0</v>
      </c>
      <c r="I13" s="518"/>
      <c r="J13" s="560">
        <f>(J11/12)*J9</f>
        <v>0</v>
      </c>
      <c r="K13" s="632"/>
      <c r="L13" s="632"/>
    </row>
    <row r="14" spans="1:12" ht="22.5" customHeight="1">
      <c r="A14" s="632"/>
      <c r="B14" s="551"/>
      <c r="C14" s="518"/>
      <c r="D14" s="518"/>
      <c r="E14" s="556">
        <f>E13+E12</f>
        <v>0</v>
      </c>
      <c r="F14" s="518"/>
      <c r="G14" s="499" t="s">
        <v>281</v>
      </c>
      <c r="H14" s="561">
        <f>H12+H13</f>
        <v>750</v>
      </c>
      <c r="I14" s="499" t="s">
        <v>282</v>
      </c>
      <c r="J14" s="562">
        <f>J13+J12</f>
        <v>420</v>
      </c>
      <c r="K14" s="632"/>
      <c r="L14" s="632"/>
    </row>
    <row r="15" spans="1:12" ht="23.25" customHeight="1">
      <c r="A15" s="632"/>
      <c r="B15" s="551"/>
      <c r="C15" s="690" t="s">
        <v>121</v>
      </c>
      <c r="D15" s="690"/>
      <c r="E15" s="563">
        <f>IF(محاسبات!F1=محاسبات!E146,محاسبات!H72,محاسبات!H71)</f>
        <v>0</v>
      </c>
      <c r="F15" s="518"/>
      <c r="G15" s="518"/>
      <c r="H15" s="518"/>
      <c r="I15" s="564"/>
      <c r="J15" s="565">
        <f>'کاربرگ ورود اطلاعات'!I9</f>
        <v>0</v>
      </c>
      <c r="K15" s="632"/>
      <c r="L15" s="632"/>
    </row>
    <row r="16" spans="1:12" ht="23.25" customHeight="1">
      <c r="A16" s="632"/>
      <c r="B16" s="551"/>
      <c r="C16" s="691" t="s">
        <v>117</v>
      </c>
      <c r="D16" s="691"/>
      <c r="E16" s="566">
        <f>E15+E11</f>
        <v>3270</v>
      </c>
      <c r="F16" s="518"/>
      <c r="G16" s="564" t="s">
        <v>118</v>
      </c>
      <c r="H16" s="567">
        <v>5190</v>
      </c>
      <c r="I16" s="564">
        <f>J15/2</f>
        <v>0</v>
      </c>
      <c r="J16" s="568">
        <f>IF(I16&gt;500,500,I16)</f>
        <v>0</v>
      </c>
      <c r="K16" s="632"/>
      <c r="L16" s="632"/>
    </row>
    <row r="17" spans="1:22" ht="23.25" thickBot="1">
      <c r="A17" s="632"/>
      <c r="B17" s="551"/>
      <c r="C17" s="692" t="s">
        <v>338</v>
      </c>
      <c r="D17" s="692"/>
      <c r="E17" s="518">
        <f>(Sheet1!I165+'جدول محاسبه حق شغل'!H14)*75%</f>
        <v>3750</v>
      </c>
      <c r="F17" s="518"/>
      <c r="G17" s="564"/>
      <c r="H17" s="569">
        <v>0.02</v>
      </c>
      <c r="I17" s="499" t="s">
        <v>293</v>
      </c>
      <c r="J17" s="570">
        <f>J16</f>
        <v>0</v>
      </c>
      <c r="K17" s="632"/>
      <c r="L17" s="632"/>
    </row>
    <row r="18" spans="1:22" ht="23.25" thickBot="1">
      <c r="A18" s="632"/>
      <c r="B18" s="551"/>
      <c r="C18" s="693" t="s">
        <v>123</v>
      </c>
      <c r="D18" s="694"/>
      <c r="E18" s="571">
        <f>IF(E16&gt;E17,E17,E16)</f>
        <v>3270</v>
      </c>
      <c r="F18" s="518"/>
      <c r="G18" s="564" t="s">
        <v>120</v>
      </c>
      <c r="H18" s="567">
        <v>1038</v>
      </c>
      <c r="I18" s="518"/>
      <c r="J18" s="572"/>
      <c r="K18" s="632"/>
      <c r="L18" s="632"/>
    </row>
    <row r="19" spans="1:22" ht="18.75" thickBot="1">
      <c r="A19" s="632"/>
      <c r="B19" s="636"/>
      <c r="C19" s="637"/>
      <c r="D19" s="637"/>
      <c r="E19" s="637"/>
      <c r="F19" s="637"/>
      <c r="G19" s="637"/>
      <c r="H19" s="637"/>
      <c r="I19" s="637"/>
      <c r="J19" s="638"/>
      <c r="K19" s="632"/>
      <c r="L19" s="632"/>
    </row>
    <row r="20" spans="1:22" ht="22.5" customHeight="1" thickBot="1">
      <c r="A20" s="632"/>
      <c r="B20" s="632"/>
      <c r="C20" s="632"/>
      <c r="D20" s="632"/>
      <c r="E20" s="632"/>
      <c r="F20" s="632"/>
      <c r="G20" s="632"/>
      <c r="H20" s="632"/>
      <c r="I20" s="632"/>
      <c r="J20" s="632"/>
      <c r="K20" s="632"/>
      <c r="L20" s="632"/>
    </row>
    <row r="21" spans="1:22" ht="24" customHeight="1">
      <c r="A21" s="632"/>
      <c r="B21" s="659" t="s">
        <v>526</v>
      </c>
      <c r="C21" s="660"/>
      <c r="D21" s="660"/>
      <c r="E21" s="550" t="s">
        <v>525</v>
      </c>
      <c r="F21" s="632"/>
      <c r="G21" s="632"/>
      <c r="H21" s="632"/>
      <c r="I21" s="632"/>
      <c r="J21" s="632"/>
      <c r="K21" s="632"/>
      <c r="L21" s="632"/>
    </row>
    <row r="22" spans="1:22" ht="24" customHeight="1">
      <c r="A22" s="632"/>
      <c r="B22" s="661" t="s">
        <v>535</v>
      </c>
      <c r="C22" s="662"/>
      <c r="D22" s="662"/>
      <c r="E22" s="588" t="s">
        <v>525</v>
      </c>
      <c r="F22" s="632"/>
      <c r="G22" s="632"/>
      <c r="H22" s="632"/>
      <c r="I22" s="632"/>
      <c r="J22" s="632"/>
      <c r="K22" s="632"/>
      <c r="L22" s="632"/>
    </row>
    <row r="23" spans="1:22" ht="24" customHeight="1">
      <c r="A23" s="632"/>
      <c r="B23" s="661" t="s">
        <v>554</v>
      </c>
      <c r="C23" s="662"/>
      <c r="D23" s="662"/>
      <c r="E23" s="588" t="s">
        <v>525</v>
      </c>
      <c r="F23" s="632"/>
      <c r="G23" s="632"/>
      <c r="H23" s="632"/>
      <c r="I23" s="632"/>
      <c r="J23" s="632"/>
      <c r="K23" s="632"/>
      <c r="L23" s="632"/>
    </row>
    <row r="24" spans="1:22" ht="24" customHeight="1" thickBot="1">
      <c r="A24" s="632"/>
      <c r="B24" s="663" t="s">
        <v>537</v>
      </c>
      <c r="C24" s="664"/>
      <c r="D24" s="664"/>
      <c r="E24" s="589" t="s">
        <v>525</v>
      </c>
      <c r="F24" s="632"/>
      <c r="G24" s="632"/>
      <c r="H24" s="632"/>
      <c r="I24" s="632"/>
      <c r="J24" s="632"/>
      <c r="K24" s="632"/>
      <c r="L24" s="632"/>
    </row>
    <row r="25" spans="1:22" ht="24" customHeight="1">
      <c r="A25" s="632"/>
      <c r="B25" s="632"/>
      <c r="C25" s="632"/>
      <c r="D25" s="632"/>
      <c r="E25" s="632"/>
      <c r="F25" s="632"/>
      <c r="G25" s="632"/>
      <c r="H25" s="632"/>
      <c r="I25" s="632"/>
      <c r="J25" s="632"/>
      <c r="K25" s="632"/>
      <c r="L25" s="632"/>
      <c r="M25" s="632"/>
      <c r="N25" s="632"/>
      <c r="O25" s="632"/>
      <c r="P25" s="632"/>
      <c r="Q25" s="632"/>
      <c r="R25" s="632"/>
      <c r="S25" s="632"/>
      <c r="T25" s="632"/>
      <c r="U25" s="632"/>
      <c r="V25" s="632"/>
    </row>
    <row r="26" spans="1:22" ht="24" customHeight="1">
      <c r="A26" s="632"/>
      <c r="B26" s="632"/>
      <c r="C26" s="632"/>
      <c r="D26" s="632"/>
      <c r="E26" s="632"/>
      <c r="F26" s="632"/>
      <c r="G26" s="632"/>
      <c r="H26" s="632"/>
      <c r="I26" s="632"/>
      <c r="J26" s="632"/>
      <c r="K26" s="632"/>
      <c r="L26" s="632"/>
      <c r="M26" s="632"/>
      <c r="N26" s="632"/>
      <c r="O26" s="632"/>
      <c r="P26" s="632"/>
      <c r="Q26" s="632"/>
      <c r="R26" s="632"/>
      <c r="S26" s="632"/>
      <c r="T26" s="632"/>
      <c r="U26" s="632"/>
      <c r="V26" s="632"/>
    </row>
    <row r="27" spans="1:22" ht="24" customHeight="1">
      <c r="A27" s="632"/>
      <c r="B27" s="632"/>
      <c r="C27" s="632"/>
      <c r="D27" s="632"/>
      <c r="E27" s="632"/>
      <c r="F27" s="632"/>
      <c r="G27" s="632"/>
      <c r="H27" s="632"/>
      <c r="I27" s="632"/>
      <c r="J27" s="632"/>
      <c r="K27" s="632"/>
      <c r="L27" s="632"/>
      <c r="M27" s="632"/>
      <c r="N27" s="632"/>
      <c r="O27" s="632"/>
      <c r="P27" s="632"/>
      <c r="Q27" s="632"/>
      <c r="R27" s="632"/>
      <c r="S27" s="632"/>
      <c r="T27" s="632"/>
      <c r="U27" s="632"/>
      <c r="V27" s="632"/>
    </row>
    <row r="28" spans="1:22" ht="24" customHeight="1">
      <c r="A28" s="632"/>
      <c r="B28" s="632"/>
      <c r="C28" s="632"/>
      <c r="D28" s="632"/>
      <c r="E28" s="632"/>
      <c r="F28" s="632"/>
      <c r="G28" s="632"/>
      <c r="H28" s="632"/>
      <c r="I28" s="632"/>
      <c r="J28" s="632"/>
      <c r="K28" s="632"/>
      <c r="L28" s="632"/>
      <c r="M28" s="632"/>
      <c r="N28" s="632"/>
      <c r="O28" s="632"/>
      <c r="P28" s="632"/>
      <c r="Q28" s="632"/>
      <c r="R28" s="632"/>
      <c r="S28" s="632"/>
      <c r="T28" s="632"/>
      <c r="U28" s="632"/>
      <c r="V28" s="632"/>
    </row>
    <row r="29" spans="1:22">
      <c r="A29" s="632"/>
      <c r="B29" s="632"/>
      <c r="C29" s="632"/>
      <c r="D29" s="632"/>
      <c r="E29" s="632"/>
      <c r="F29" s="632"/>
      <c r="G29" s="632"/>
      <c r="H29" s="632"/>
      <c r="I29" s="632"/>
      <c r="J29" s="632"/>
      <c r="K29" s="632"/>
      <c r="L29" s="632"/>
      <c r="M29" s="632"/>
      <c r="N29" s="632"/>
      <c r="O29" s="632"/>
      <c r="P29" s="632"/>
      <c r="Q29" s="632"/>
      <c r="R29" s="632"/>
      <c r="S29" s="632"/>
      <c r="T29" s="632"/>
      <c r="U29" s="632"/>
      <c r="V29" s="632"/>
    </row>
    <row r="30" spans="1:22">
      <c r="A30" s="632"/>
      <c r="B30" s="632"/>
      <c r="C30" s="632"/>
      <c r="D30" s="632"/>
      <c r="E30" s="632"/>
      <c r="F30" s="632"/>
      <c r="G30" s="632"/>
      <c r="H30" s="632"/>
      <c r="I30" s="632"/>
      <c r="J30" s="632"/>
      <c r="K30" s="632"/>
      <c r="L30" s="632"/>
      <c r="M30" s="632"/>
      <c r="N30" s="632"/>
      <c r="O30" s="632"/>
      <c r="P30" s="632"/>
      <c r="Q30" s="632"/>
      <c r="R30" s="632"/>
      <c r="S30" s="632"/>
      <c r="T30" s="632"/>
      <c r="U30" s="632"/>
      <c r="V30" s="632"/>
    </row>
    <row r="31" spans="1:22">
      <c r="A31" s="632"/>
      <c r="B31" s="632"/>
      <c r="C31" s="632"/>
      <c r="D31" s="632"/>
      <c r="E31" s="632"/>
      <c r="F31" s="632"/>
      <c r="G31" s="632"/>
      <c r="H31" s="632"/>
      <c r="I31" s="632"/>
      <c r="J31" s="632"/>
      <c r="K31" s="632"/>
      <c r="L31" s="632"/>
      <c r="M31" s="632"/>
      <c r="N31" s="632"/>
      <c r="O31" s="632"/>
      <c r="P31" s="632"/>
      <c r="Q31" s="632"/>
      <c r="R31" s="632"/>
      <c r="S31" s="632"/>
      <c r="T31" s="632"/>
      <c r="U31" s="632"/>
      <c r="V31" s="632"/>
    </row>
    <row r="32" spans="1:22">
      <c r="A32" s="632"/>
      <c r="B32" s="632"/>
      <c r="C32" s="632"/>
      <c r="D32" s="632"/>
      <c r="E32" s="632"/>
      <c r="F32" s="632"/>
      <c r="G32" s="632"/>
      <c r="H32" s="632"/>
      <c r="I32" s="632"/>
      <c r="J32" s="632"/>
      <c r="K32" s="632"/>
      <c r="L32" s="632"/>
      <c r="M32" s="632"/>
      <c r="N32" s="632"/>
      <c r="O32" s="632"/>
      <c r="P32" s="632"/>
      <c r="Q32" s="632"/>
      <c r="R32" s="632"/>
      <c r="S32" s="632"/>
      <c r="T32" s="632"/>
      <c r="U32" s="632"/>
      <c r="V32" s="632"/>
    </row>
    <row r="33" spans="1:22">
      <c r="A33" s="632"/>
      <c r="B33" s="632"/>
      <c r="C33" s="632"/>
      <c r="D33" s="632"/>
      <c r="E33" s="632"/>
      <c r="F33" s="632"/>
      <c r="G33" s="632"/>
      <c r="H33" s="632"/>
      <c r="I33" s="632"/>
      <c r="J33" s="632"/>
      <c r="K33" s="632"/>
      <c r="L33" s="632"/>
      <c r="M33" s="632"/>
      <c r="N33" s="632"/>
      <c r="O33" s="632"/>
      <c r="P33" s="632"/>
      <c r="Q33" s="632"/>
      <c r="R33" s="632"/>
      <c r="S33" s="632"/>
      <c r="T33" s="632"/>
      <c r="U33" s="632"/>
      <c r="V33" s="632"/>
    </row>
    <row r="34" spans="1:22">
      <c r="A34" s="632"/>
      <c r="B34" s="632"/>
      <c r="C34" s="632"/>
      <c r="D34" s="632"/>
      <c r="E34" s="632"/>
      <c r="F34" s="632"/>
      <c r="G34" s="632"/>
      <c r="H34" s="632"/>
      <c r="I34" s="632"/>
      <c r="J34" s="632"/>
      <c r="K34" s="632"/>
      <c r="L34" s="632"/>
      <c r="M34" s="632"/>
      <c r="N34" s="632"/>
      <c r="O34" s="632"/>
      <c r="P34" s="632"/>
      <c r="Q34" s="632"/>
      <c r="R34" s="632"/>
      <c r="S34" s="632"/>
      <c r="T34" s="632"/>
      <c r="U34" s="632"/>
      <c r="V34" s="632"/>
    </row>
    <row r="35" spans="1:22">
      <c r="A35" s="632"/>
      <c r="B35" s="632"/>
      <c r="C35" s="632"/>
      <c r="D35" s="632"/>
      <c r="E35" s="632"/>
      <c r="F35" s="632"/>
      <c r="G35" s="632"/>
      <c r="H35" s="632"/>
      <c r="I35" s="632"/>
      <c r="J35" s="632"/>
      <c r="K35" s="632"/>
      <c r="L35" s="632"/>
      <c r="M35" s="632"/>
      <c r="N35" s="632"/>
      <c r="O35" s="632"/>
      <c r="P35" s="632"/>
      <c r="Q35" s="632"/>
      <c r="R35" s="632"/>
      <c r="S35" s="632"/>
      <c r="T35" s="632"/>
      <c r="U35" s="632"/>
      <c r="V35" s="632"/>
    </row>
    <row r="36" spans="1:22">
      <c r="A36" s="632"/>
      <c r="B36" s="632"/>
      <c r="C36" s="632"/>
      <c r="D36" s="632"/>
      <c r="E36" s="632"/>
      <c r="F36" s="632"/>
      <c r="G36" s="632"/>
      <c r="H36" s="632"/>
      <c r="I36" s="632"/>
      <c r="J36" s="632"/>
      <c r="K36" s="632"/>
      <c r="L36" s="632"/>
      <c r="M36" s="632"/>
      <c r="N36" s="632"/>
      <c r="O36" s="632"/>
      <c r="P36" s="632"/>
      <c r="Q36" s="632"/>
      <c r="R36" s="632"/>
      <c r="S36" s="632"/>
      <c r="T36" s="632"/>
      <c r="U36" s="632"/>
      <c r="V36" s="632"/>
    </row>
    <row r="37" spans="1:22">
      <c r="A37" s="632"/>
      <c r="B37" s="632"/>
      <c r="C37" s="632"/>
      <c r="D37" s="632"/>
      <c r="E37" s="632"/>
      <c r="F37" s="632"/>
      <c r="G37" s="632"/>
      <c r="H37" s="632"/>
      <c r="I37" s="632"/>
      <c r="J37" s="632"/>
      <c r="K37" s="632"/>
      <c r="L37" s="632"/>
      <c r="M37" s="632"/>
      <c r="N37" s="632"/>
      <c r="O37" s="632"/>
      <c r="P37" s="632"/>
      <c r="Q37" s="632"/>
      <c r="R37" s="632"/>
      <c r="S37" s="632"/>
      <c r="T37" s="632"/>
      <c r="U37" s="632"/>
      <c r="V37" s="632"/>
    </row>
    <row r="38" spans="1:22">
      <c r="A38" s="632"/>
      <c r="B38" s="632"/>
      <c r="C38" s="632"/>
      <c r="D38" s="632"/>
      <c r="E38" s="632"/>
      <c r="F38" s="632"/>
      <c r="G38" s="632"/>
      <c r="H38" s="632"/>
      <c r="I38" s="632"/>
      <c r="J38" s="632"/>
      <c r="K38" s="632"/>
      <c r="L38" s="632"/>
      <c r="M38" s="632"/>
      <c r="N38" s="632"/>
      <c r="O38" s="632"/>
      <c r="P38" s="632"/>
      <c r="Q38" s="632"/>
      <c r="R38" s="632"/>
      <c r="S38" s="632"/>
      <c r="T38" s="632"/>
      <c r="U38" s="632"/>
      <c r="V38" s="632"/>
    </row>
    <row r="39" spans="1:22">
      <c r="A39" s="632"/>
      <c r="B39" s="632"/>
      <c r="C39" s="632"/>
      <c r="D39" s="632"/>
      <c r="E39" s="632"/>
      <c r="F39" s="632"/>
      <c r="G39" s="632"/>
      <c r="H39" s="632"/>
      <c r="I39" s="632"/>
      <c r="J39" s="632"/>
      <c r="K39" s="632"/>
      <c r="L39" s="632"/>
      <c r="M39" s="632"/>
      <c r="N39" s="632"/>
      <c r="O39" s="632"/>
      <c r="P39" s="632"/>
      <c r="Q39" s="632"/>
      <c r="R39" s="632"/>
      <c r="S39" s="632"/>
      <c r="T39" s="632"/>
      <c r="U39" s="632"/>
      <c r="V39" s="632"/>
    </row>
    <row r="40" spans="1:22">
      <c r="A40" s="632"/>
      <c r="B40" s="632"/>
      <c r="C40" s="632"/>
      <c r="D40" s="632"/>
      <c r="E40" s="632"/>
      <c r="F40" s="632"/>
      <c r="G40" s="632"/>
      <c r="H40" s="632"/>
      <c r="I40" s="632"/>
      <c r="J40" s="632"/>
      <c r="K40" s="632"/>
      <c r="L40" s="632"/>
      <c r="M40" s="632"/>
      <c r="N40" s="632"/>
      <c r="O40" s="632"/>
      <c r="P40" s="632"/>
      <c r="Q40" s="632"/>
      <c r="R40" s="632"/>
      <c r="S40" s="632"/>
      <c r="T40" s="632"/>
      <c r="U40" s="632"/>
      <c r="V40" s="632"/>
    </row>
    <row r="41" spans="1:22">
      <c r="A41" s="632"/>
      <c r="B41" s="632"/>
      <c r="C41" s="632"/>
      <c r="D41" s="632"/>
      <c r="E41" s="632"/>
      <c r="F41" s="632"/>
      <c r="G41" s="632"/>
      <c r="H41" s="632"/>
      <c r="I41" s="632"/>
      <c r="J41" s="632"/>
      <c r="K41" s="632"/>
      <c r="L41" s="632"/>
      <c r="M41" s="632"/>
      <c r="N41" s="632"/>
      <c r="O41" s="632"/>
      <c r="P41" s="632"/>
      <c r="Q41" s="632"/>
      <c r="R41" s="632"/>
      <c r="S41" s="632"/>
      <c r="T41" s="632"/>
      <c r="U41" s="632"/>
      <c r="V41" s="632"/>
    </row>
    <row r="42" spans="1:22">
      <c r="A42" s="632"/>
      <c r="B42" s="632"/>
      <c r="C42" s="632"/>
      <c r="D42" s="632"/>
      <c r="E42" s="632"/>
      <c r="F42" s="632"/>
      <c r="G42" s="632"/>
      <c r="H42" s="632"/>
      <c r="I42" s="632"/>
      <c r="J42" s="632"/>
      <c r="K42" s="632"/>
      <c r="L42" s="632"/>
      <c r="M42" s="632"/>
      <c r="N42" s="632"/>
      <c r="O42" s="632"/>
      <c r="P42" s="632"/>
      <c r="Q42" s="632"/>
      <c r="R42" s="632"/>
      <c r="S42" s="632"/>
      <c r="T42" s="632"/>
      <c r="U42" s="632"/>
      <c r="V42" s="632"/>
    </row>
    <row r="43" spans="1:22">
      <c r="A43" s="632"/>
      <c r="B43" s="632"/>
      <c r="C43" s="632"/>
      <c r="D43" s="632"/>
      <c r="E43" s="632"/>
      <c r="F43" s="632"/>
      <c r="G43" s="632"/>
      <c r="H43" s="632"/>
      <c r="I43" s="632"/>
      <c r="J43" s="632"/>
      <c r="K43" s="632"/>
      <c r="L43" s="632"/>
      <c r="M43" s="632"/>
      <c r="N43" s="632"/>
      <c r="O43" s="632"/>
      <c r="P43" s="632"/>
      <c r="Q43" s="632"/>
      <c r="R43" s="632"/>
      <c r="S43" s="632"/>
      <c r="T43" s="632"/>
      <c r="U43" s="632"/>
      <c r="V43" s="632"/>
    </row>
    <row r="44" spans="1:22">
      <c r="A44" s="632"/>
      <c r="B44" s="632"/>
      <c r="C44" s="632"/>
      <c r="D44" s="632"/>
      <c r="E44" s="632"/>
      <c r="F44" s="632"/>
      <c r="G44" s="632"/>
      <c r="H44" s="632"/>
      <c r="I44" s="632"/>
      <c r="J44" s="632"/>
      <c r="K44" s="632"/>
      <c r="L44" s="632"/>
      <c r="M44" s="632"/>
      <c r="N44" s="632"/>
      <c r="O44" s="632"/>
      <c r="P44" s="632"/>
      <c r="Q44" s="632"/>
      <c r="R44" s="632"/>
      <c r="S44" s="632"/>
      <c r="T44" s="632"/>
      <c r="U44" s="632"/>
      <c r="V44" s="632"/>
    </row>
    <row r="45" spans="1:22">
      <c r="A45" s="632"/>
      <c r="B45" s="632"/>
      <c r="C45" s="632"/>
      <c r="D45" s="632"/>
      <c r="E45" s="632"/>
      <c r="F45" s="632"/>
      <c r="G45" s="632"/>
      <c r="H45" s="632"/>
      <c r="I45" s="632"/>
      <c r="J45" s="632"/>
      <c r="K45" s="632"/>
      <c r="L45" s="632"/>
      <c r="M45" s="632"/>
      <c r="N45" s="632"/>
      <c r="O45" s="632"/>
      <c r="P45" s="632"/>
      <c r="Q45" s="632"/>
      <c r="R45" s="632"/>
      <c r="S45" s="632"/>
      <c r="T45" s="632"/>
      <c r="U45" s="632"/>
      <c r="V45" s="632"/>
    </row>
    <row r="46" spans="1:22">
      <c r="A46" s="632"/>
      <c r="B46" s="632"/>
      <c r="C46" s="632"/>
      <c r="D46" s="632"/>
      <c r="E46" s="632"/>
      <c r="F46" s="632"/>
      <c r="G46" s="632"/>
      <c r="H46" s="632"/>
      <c r="I46" s="632"/>
      <c r="J46" s="632"/>
      <c r="K46" s="632"/>
      <c r="L46" s="632"/>
      <c r="M46" s="632"/>
      <c r="N46" s="632"/>
      <c r="O46" s="632"/>
      <c r="P46" s="632"/>
      <c r="Q46" s="632"/>
      <c r="R46" s="632"/>
      <c r="S46" s="632"/>
      <c r="T46" s="632"/>
      <c r="U46" s="632"/>
      <c r="V46" s="632"/>
    </row>
    <row r="47" spans="1:22">
      <c r="A47" s="632"/>
      <c r="B47" s="632"/>
      <c r="C47" s="632"/>
      <c r="D47" s="632"/>
      <c r="E47" s="632"/>
      <c r="F47" s="632"/>
      <c r="G47" s="632"/>
      <c r="H47" s="632"/>
      <c r="I47" s="632"/>
      <c r="J47" s="632"/>
      <c r="K47" s="632"/>
      <c r="L47" s="632"/>
      <c r="M47" s="632"/>
      <c r="N47" s="632"/>
      <c r="O47" s="632"/>
      <c r="P47" s="632"/>
      <c r="Q47" s="632"/>
      <c r="R47" s="632"/>
      <c r="S47" s="632"/>
      <c r="T47" s="632"/>
      <c r="U47" s="632"/>
      <c r="V47" s="632"/>
    </row>
    <row r="48" spans="1:22">
      <c r="A48" s="632"/>
      <c r="B48" s="632"/>
      <c r="C48" s="632"/>
      <c r="D48" s="632"/>
      <c r="E48" s="632"/>
      <c r="F48" s="632"/>
      <c r="G48" s="632"/>
      <c r="H48" s="632"/>
      <c r="I48" s="632"/>
      <c r="J48" s="632"/>
      <c r="K48" s="632"/>
      <c r="L48" s="632"/>
      <c r="M48" s="632"/>
      <c r="N48" s="632"/>
      <c r="O48" s="632"/>
      <c r="P48" s="632"/>
      <c r="Q48" s="632"/>
      <c r="R48" s="632"/>
      <c r="S48" s="632"/>
      <c r="T48" s="632"/>
      <c r="U48" s="632"/>
      <c r="V48" s="632"/>
    </row>
    <row r="49" spans="1:22">
      <c r="A49" s="632"/>
      <c r="B49" s="632"/>
      <c r="C49" s="632"/>
      <c r="D49" s="632"/>
      <c r="E49" s="632"/>
      <c r="F49" s="632"/>
      <c r="G49" s="632"/>
      <c r="H49" s="632"/>
      <c r="I49" s="632"/>
      <c r="J49" s="632"/>
      <c r="K49" s="632"/>
      <c r="L49" s="632"/>
      <c r="M49" s="632"/>
      <c r="N49" s="632"/>
      <c r="O49" s="632"/>
      <c r="P49" s="632"/>
      <c r="Q49" s="632"/>
      <c r="R49" s="632"/>
      <c r="S49" s="632"/>
      <c r="T49" s="632"/>
      <c r="U49" s="632"/>
      <c r="V49" s="632"/>
    </row>
    <row r="50" spans="1:22">
      <c r="A50" s="632"/>
      <c r="B50" s="632"/>
      <c r="C50" s="632"/>
      <c r="D50" s="632"/>
      <c r="E50" s="632"/>
      <c r="F50" s="632"/>
      <c r="G50" s="632"/>
      <c r="H50" s="632"/>
      <c r="I50" s="632"/>
      <c r="J50" s="632"/>
      <c r="K50" s="632"/>
      <c r="L50" s="632"/>
      <c r="M50" s="632"/>
      <c r="N50" s="632"/>
      <c r="O50" s="632"/>
      <c r="P50" s="632"/>
      <c r="Q50" s="632"/>
      <c r="R50" s="632"/>
      <c r="S50" s="632"/>
      <c r="T50" s="632"/>
      <c r="U50" s="632"/>
      <c r="V50" s="632"/>
    </row>
    <row r="51" spans="1:22">
      <c r="A51" s="632"/>
      <c r="B51" s="632"/>
      <c r="C51" s="632"/>
      <c r="D51" s="632"/>
      <c r="E51" s="632"/>
      <c r="F51" s="632"/>
      <c r="G51" s="632"/>
      <c r="H51" s="632"/>
      <c r="I51" s="632"/>
      <c r="J51" s="632"/>
      <c r="K51" s="632"/>
      <c r="L51" s="632"/>
      <c r="M51" s="632"/>
      <c r="N51" s="632"/>
      <c r="O51" s="632"/>
      <c r="P51" s="632"/>
      <c r="Q51" s="632"/>
      <c r="R51" s="632"/>
      <c r="S51" s="632"/>
      <c r="T51" s="632"/>
      <c r="U51" s="632"/>
      <c r="V51" s="632"/>
    </row>
    <row r="52" spans="1:22">
      <c r="A52" s="632"/>
      <c r="B52" s="632"/>
      <c r="C52" s="632"/>
      <c r="D52" s="632"/>
      <c r="E52" s="632"/>
      <c r="F52" s="632"/>
      <c r="G52" s="632"/>
      <c r="H52" s="632"/>
      <c r="I52" s="632"/>
      <c r="J52" s="632"/>
      <c r="K52" s="632"/>
      <c r="L52" s="632"/>
      <c r="M52" s="632"/>
      <c r="N52" s="632"/>
      <c r="O52" s="632"/>
      <c r="P52" s="632"/>
      <c r="Q52" s="632"/>
      <c r="R52" s="632"/>
      <c r="S52" s="632"/>
      <c r="T52" s="632"/>
      <c r="U52" s="632"/>
      <c r="V52" s="632"/>
    </row>
    <row r="53" spans="1:22">
      <c r="A53" s="632"/>
      <c r="B53" s="632"/>
      <c r="C53" s="632"/>
      <c r="D53" s="632"/>
      <c r="E53" s="632"/>
      <c r="F53" s="632"/>
      <c r="G53" s="632"/>
      <c r="H53" s="632"/>
      <c r="I53" s="632"/>
      <c r="J53" s="632"/>
      <c r="K53" s="632"/>
      <c r="L53" s="632"/>
      <c r="M53" s="632"/>
      <c r="N53" s="632"/>
      <c r="O53" s="632"/>
      <c r="P53" s="632"/>
      <c r="Q53" s="632"/>
      <c r="R53" s="632"/>
      <c r="S53" s="632"/>
      <c r="T53" s="632"/>
      <c r="U53" s="632"/>
      <c r="V53" s="632"/>
    </row>
    <row r="54" spans="1:22">
      <c r="A54" s="632"/>
      <c r="B54" s="632"/>
      <c r="C54" s="632"/>
      <c r="D54" s="632"/>
      <c r="E54" s="632"/>
      <c r="F54" s="632"/>
      <c r="G54" s="632"/>
      <c r="H54" s="632"/>
      <c r="I54" s="632"/>
      <c r="J54" s="632"/>
      <c r="K54" s="632"/>
      <c r="L54" s="632"/>
      <c r="M54" s="632"/>
      <c r="N54" s="632"/>
      <c r="O54" s="632"/>
      <c r="P54" s="632"/>
      <c r="Q54" s="632"/>
      <c r="R54" s="632"/>
      <c r="S54" s="632"/>
      <c r="T54" s="632"/>
      <c r="U54" s="632"/>
      <c r="V54" s="632"/>
    </row>
    <row r="55" spans="1:22">
      <c r="A55" s="632"/>
      <c r="B55" s="632"/>
      <c r="C55" s="632"/>
      <c r="D55" s="632"/>
      <c r="E55" s="632"/>
      <c r="F55" s="632"/>
      <c r="G55" s="632"/>
      <c r="H55" s="632"/>
      <c r="I55" s="632"/>
      <c r="J55" s="632"/>
      <c r="K55" s="632"/>
      <c r="L55" s="632"/>
      <c r="M55" s="632"/>
      <c r="N55" s="632"/>
      <c r="O55" s="632"/>
      <c r="P55" s="632"/>
      <c r="Q55" s="632"/>
      <c r="R55" s="632"/>
      <c r="S55" s="632"/>
      <c r="T55" s="632"/>
      <c r="U55" s="632"/>
      <c r="V55" s="632"/>
    </row>
    <row r="56" spans="1:22">
      <c r="A56" s="632"/>
      <c r="B56" s="632"/>
      <c r="C56" s="632"/>
      <c r="D56" s="632"/>
      <c r="E56" s="632"/>
      <c r="F56" s="632"/>
      <c r="G56" s="632"/>
      <c r="H56" s="632"/>
      <c r="I56" s="632"/>
      <c r="J56" s="632"/>
      <c r="K56" s="632"/>
      <c r="L56" s="632"/>
      <c r="M56" s="632"/>
      <c r="N56" s="632"/>
      <c r="O56" s="632"/>
      <c r="P56" s="632"/>
      <c r="Q56" s="632"/>
      <c r="R56" s="632"/>
      <c r="S56" s="632"/>
      <c r="T56" s="632"/>
      <c r="U56" s="632"/>
      <c r="V56" s="632"/>
    </row>
    <row r="57" spans="1:22">
      <c r="A57" s="632"/>
      <c r="B57" s="632"/>
      <c r="C57" s="632"/>
      <c r="D57" s="632"/>
      <c r="E57" s="632"/>
      <c r="F57" s="632"/>
      <c r="G57" s="632"/>
      <c r="H57" s="632"/>
      <c r="I57" s="632"/>
      <c r="J57" s="632"/>
      <c r="K57" s="632"/>
      <c r="L57" s="632"/>
      <c r="M57" s="632"/>
      <c r="N57" s="632"/>
      <c r="O57" s="632"/>
      <c r="P57" s="632"/>
      <c r="Q57" s="632"/>
      <c r="R57" s="632"/>
      <c r="S57" s="632"/>
      <c r="T57" s="632"/>
      <c r="U57" s="632"/>
      <c r="V57" s="632"/>
    </row>
    <row r="58" spans="1:22">
      <c r="A58" s="632"/>
      <c r="B58" s="632"/>
      <c r="C58" s="632"/>
      <c r="D58" s="632"/>
      <c r="E58" s="632"/>
      <c r="F58" s="632"/>
      <c r="G58" s="632"/>
      <c r="H58" s="632"/>
      <c r="I58" s="632"/>
      <c r="J58" s="632"/>
      <c r="K58" s="632"/>
      <c r="L58" s="632"/>
      <c r="M58" s="632"/>
      <c r="N58" s="632"/>
      <c r="O58" s="632"/>
      <c r="P58" s="632"/>
      <c r="Q58" s="632"/>
      <c r="R58" s="632"/>
      <c r="S58" s="632"/>
      <c r="T58" s="632"/>
      <c r="U58" s="632"/>
      <c r="V58" s="632"/>
    </row>
    <row r="59" spans="1:22">
      <c r="A59" s="632"/>
      <c r="B59" s="632"/>
      <c r="C59" s="632"/>
      <c r="D59" s="632"/>
      <c r="E59" s="632"/>
      <c r="F59" s="632"/>
      <c r="G59" s="632"/>
      <c r="H59" s="632"/>
      <c r="I59" s="632"/>
      <c r="J59" s="632"/>
      <c r="K59" s="632"/>
      <c r="L59" s="632"/>
      <c r="M59" s="632"/>
      <c r="N59" s="632"/>
      <c r="O59" s="632"/>
      <c r="P59" s="632"/>
      <c r="Q59" s="632"/>
      <c r="R59" s="632"/>
      <c r="S59" s="632"/>
      <c r="T59" s="632"/>
      <c r="U59" s="632"/>
      <c r="V59" s="632"/>
    </row>
    <row r="60" spans="1:22">
      <c r="A60" s="632"/>
      <c r="B60" s="632"/>
      <c r="C60" s="632"/>
      <c r="D60" s="632"/>
      <c r="E60" s="632"/>
      <c r="F60" s="632"/>
      <c r="G60" s="632"/>
      <c r="H60" s="632"/>
      <c r="I60" s="632"/>
      <c r="J60" s="632"/>
      <c r="K60" s="632"/>
      <c r="L60" s="632"/>
      <c r="M60" s="632"/>
      <c r="N60" s="632"/>
      <c r="O60" s="632"/>
      <c r="P60" s="632"/>
      <c r="Q60" s="632"/>
      <c r="R60" s="632"/>
      <c r="S60" s="632"/>
      <c r="T60" s="632"/>
      <c r="U60" s="632"/>
      <c r="V60" s="632"/>
    </row>
    <row r="61" spans="1:22">
      <c r="A61" s="632"/>
      <c r="B61" s="632"/>
      <c r="C61" s="632"/>
      <c r="D61" s="632"/>
      <c r="E61" s="632"/>
      <c r="F61" s="632"/>
      <c r="G61" s="632"/>
      <c r="H61" s="632"/>
      <c r="I61" s="632"/>
      <c r="J61" s="632"/>
      <c r="K61" s="632"/>
      <c r="L61" s="632"/>
      <c r="M61" s="632"/>
      <c r="N61" s="632"/>
      <c r="O61" s="632"/>
      <c r="P61" s="632"/>
      <c r="Q61" s="632"/>
      <c r="R61" s="632"/>
      <c r="S61" s="632"/>
      <c r="T61" s="632"/>
      <c r="U61" s="632"/>
      <c r="V61" s="632"/>
    </row>
    <row r="62" spans="1:22">
      <c r="A62" s="632"/>
      <c r="B62" s="632"/>
      <c r="C62" s="632"/>
      <c r="D62" s="632"/>
      <c r="E62" s="632"/>
      <c r="F62" s="632"/>
      <c r="G62" s="632"/>
      <c r="H62" s="632"/>
      <c r="I62" s="632"/>
      <c r="J62" s="632"/>
      <c r="K62" s="632"/>
      <c r="L62" s="632"/>
      <c r="M62" s="632"/>
      <c r="N62" s="632"/>
      <c r="O62" s="632"/>
      <c r="P62" s="632"/>
      <c r="Q62" s="632"/>
      <c r="R62" s="632"/>
      <c r="S62" s="632"/>
      <c r="T62" s="632"/>
      <c r="U62" s="632"/>
      <c r="V62" s="632"/>
    </row>
    <row r="63" spans="1:22">
      <c r="A63" s="632"/>
      <c r="B63" s="632"/>
      <c r="C63" s="632"/>
      <c r="D63" s="632"/>
      <c r="E63" s="632"/>
      <c r="F63" s="632"/>
      <c r="G63" s="632"/>
      <c r="H63" s="632"/>
      <c r="I63" s="632"/>
      <c r="J63" s="632"/>
      <c r="K63" s="632"/>
      <c r="L63" s="632"/>
      <c r="M63" s="632"/>
      <c r="N63" s="632"/>
      <c r="O63" s="632"/>
      <c r="P63" s="632"/>
      <c r="Q63" s="632"/>
      <c r="R63" s="632"/>
      <c r="S63" s="632"/>
      <c r="T63" s="632"/>
      <c r="U63" s="632"/>
      <c r="V63" s="632"/>
    </row>
    <row r="64" spans="1:22">
      <c r="A64" s="632"/>
      <c r="B64" s="632"/>
      <c r="C64" s="632"/>
      <c r="D64" s="632"/>
      <c r="E64" s="632"/>
      <c r="F64" s="632"/>
      <c r="G64" s="632"/>
      <c r="H64" s="632"/>
      <c r="I64" s="632"/>
      <c r="J64" s="632"/>
      <c r="K64" s="632"/>
      <c r="L64" s="632"/>
      <c r="M64" s="632"/>
      <c r="N64" s="632"/>
      <c r="O64" s="632"/>
      <c r="P64" s="632"/>
      <c r="Q64" s="632"/>
      <c r="R64" s="632"/>
      <c r="S64" s="632"/>
      <c r="T64" s="632"/>
      <c r="U64" s="632"/>
      <c r="V64" s="632"/>
    </row>
    <row r="65" spans="1:22">
      <c r="A65" s="632"/>
      <c r="B65" s="632"/>
      <c r="C65" s="632"/>
      <c r="D65" s="632"/>
      <c r="E65" s="632"/>
      <c r="F65" s="632"/>
      <c r="G65" s="632"/>
      <c r="H65" s="632"/>
      <c r="I65" s="632"/>
      <c r="J65" s="632"/>
      <c r="K65" s="632"/>
      <c r="L65" s="632"/>
      <c r="M65" s="632"/>
      <c r="N65" s="632"/>
      <c r="O65" s="632"/>
      <c r="P65" s="632"/>
      <c r="Q65" s="632"/>
      <c r="R65" s="632"/>
      <c r="S65" s="632"/>
      <c r="T65" s="632"/>
      <c r="U65" s="632"/>
      <c r="V65" s="632"/>
    </row>
    <row r="66" spans="1:22">
      <c r="A66" s="632"/>
      <c r="B66" s="632"/>
      <c r="C66" s="632"/>
      <c r="D66" s="632"/>
      <c r="E66" s="632"/>
      <c r="F66" s="632"/>
      <c r="G66" s="632"/>
      <c r="H66" s="632"/>
      <c r="I66" s="632"/>
      <c r="J66" s="632"/>
      <c r="K66" s="632"/>
      <c r="L66" s="632"/>
      <c r="M66" s="632"/>
      <c r="N66" s="632"/>
      <c r="O66" s="632"/>
      <c r="P66" s="632"/>
      <c r="Q66" s="632"/>
      <c r="R66" s="632"/>
      <c r="S66" s="632"/>
      <c r="T66" s="632"/>
      <c r="U66" s="632"/>
      <c r="V66" s="632"/>
    </row>
    <row r="67" spans="1:22">
      <c r="A67" s="632"/>
      <c r="B67" s="632"/>
      <c r="C67" s="632"/>
      <c r="D67" s="632"/>
      <c r="E67" s="632"/>
      <c r="F67" s="632"/>
      <c r="G67" s="632"/>
      <c r="H67" s="632"/>
      <c r="I67" s="632"/>
      <c r="J67" s="632"/>
      <c r="K67" s="632"/>
      <c r="L67" s="632"/>
      <c r="M67" s="632"/>
      <c r="N67" s="632"/>
      <c r="O67" s="632"/>
      <c r="P67" s="632"/>
      <c r="Q67" s="632"/>
      <c r="R67" s="632"/>
      <c r="S67" s="632"/>
      <c r="T67" s="632"/>
      <c r="U67" s="632"/>
      <c r="V67" s="632"/>
    </row>
    <row r="68" spans="1:22">
      <c r="A68" s="632"/>
      <c r="B68" s="632"/>
      <c r="C68" s="632"/>
      <c r="D68" s="632"/>
      <c r="E68" s="632"/>
      <c r="F68" s="632"/>
      <c r="G68" s="632"/>
      <c r="H68" s="632"/>
      <c r="I68" s="632"/>
      <c r="J68" s="632"/>
      <c r="K68" s="632"/>
      <c r="L68" s="632"/>
      <c r="M68" s="632"/>
      <c r="N68" s="632"/>
      <c r="O68" s="632"/>
      <c r="P68" s="632"/>
      <c r="Q68" s="632"/>
      <c r="R68" s="632"/>
      <c r="S68" s="632"/>
      <c r="T68" s="632"/>
      <c r="U68" s="632"/>
      <c r="V68" s="632"/>
    </row>
    <row r="69" spans="1:22">
      <c r="A69" s="632"/>
      <c r="B69" s="632"/>
      <c r="C69" s="632"/>
      <c r="D69" s="632"/>
      <c r="E69" s="632"/>
      <c r="F69" s="632"/>
      <c r="G69" s="632"/>
      <c r="H69" s="632"/>
      <c r="I69" s="632"/>
      <c r="J69" s="632"/>
      <c r="K69" s="632"/>
      <c r="L69" s="632"/>
      <c r="M69" s="632"/>
      <c r="N69" s="632"/>
      <c r="O69" s="632"/>
      <c r="P69" s="632"/>
      <c r="Q69" s="632"/>
      <c r="R69" s="632"/>
      <c r="S69" s="632"/>
      <c r="T69" s="632"/>
      <c r="U69" s="632"/>
      <c r="V69" s="632"/>
    </row>
    <row r="70" spans="1:22">
      <c r="A70" s="632"/>
      <c r="B70" s="632"/>
      <c r="C70" s="632"/>
      <c r="D70" s="632"/>
      <c r="E70" s="632"/>
      <c r="F70" s="632"/>
      <c r="G70" s="632"/>
      <c r="H70" s="632"/>
      <c r="I70" s="632"/>
      <c r="J70" s="632"/>
      <c r="K70" s="632"/>
      <c r="L70" s="632"/>
      <c r="M70" s="632"/>
      <c r="N70" s="632"/>
      <c r="O70" s="632"/>
      <c r="P70" s="632"/>
      <c r="Q70" s="632"/>
      <c r="R70" s="632"/>
      <c r="S70" s="632"/>
      <c r="T70" s="632"/>
      <c r="U70" s="632"/>
      <c r="V70" s="632"/>
    </row>
    <row r="71" spans="1:22">
      <c r="A71" s="632"/>
      <c r="B71" s="632"/>
      <c r="C71" s="632"/>
      <c r="D71" s="632"/>
      <c r="E71" s="632"/>
      <c r="F71" s="632"/>
      <c r="G71" s="632"/>
      <c r="H71" s="632"/>
      <c r="I71" s="632"/>
      <c r="J71" s="632"/>
      <c r="K71" s="632"/>
      <c r="L71" s="632"/>
      <c r="M71" s="632"/>
      <c r="N71" s="632"/>
      <c r="O71" s="632"/>
      <c r="P71" s="632"/>
      <c r="Q71" s="632"/>
      <c r="R71" s="632"/>
      <c r="S71" s="632"/>
      <c r="T71" s="632"/>
      <c r="U71" s="632"/>
      <c r="V71" s="632"/>
    </row>
    <row r="72" spans="1:22">
      <c r="A72" s="632"/>
      <c r="B72" s="632"/>
      <c r="C72" s="632"/>
      <c r="D72" s="632"/>
      <c r="E72" s="632"/>
      <c r="F72" s="632"/>
      <c r="G72" s="632"/>
      <c r="H72" s="632"/>
      <c r="I72" s="632"/>
      <c r="J72" s="632"/>
      <c r="K72" s="632"/>
      <c r="L72" s="632"/>
      <c r="M72" s="632"/>
      <c r="N72" s="632"/>
      <c r="O72" s="632"/>
      <c r="P72" s="632"/>
      <c r="Q72" s="632"/>
      <c r="R72" s="632"/>
      <c r="S72" s="632"/>
      <c r="T72" s="632"/>
      <c r="U72" s="632"/>
      <c r="V72" s="632"/>
    </row>
    <row r="73" spans="1:22">
      <c r="A73" s="632"/>
      <c r="B73" s="632"/>
      <c r="C73" s="632"/>
      <c r="D73" s="632"/>
      <c r="E73" s="632"/>
      <c r="F73" s="632"/>
      <c r="G73" s="632"/>
      <c r="H73" s="632"/>
      <c r="I73" s="632"/>
      <c r="J73" s="632"/>
      <c r="K73" s="632"/>
      <c r="L73" s="632"/>
      <c r="M73" s="632"/>
      <c r="N73" s="632"/>
      <c r="O73" s="632"/>
      <c r="P73" s="632"/>
      <c r="Q73" s="632"/>
      <c r="R73" s="632"/>
      <c r="S73" s="632"/>
      <c r="T73" s="632"/>
      <c r="U73" s="632"/>
      <c r="V73" s="632"/>
    </row>
    <row r="74" spans="1:22">
      <c r="A74" s="632"/>
      <c r="B74" s="632"/>
      <c r="C74" s="632"/>
      <c r="D74" s="632"/>
      <c r="E74" s="632"/>
      <c r="F74" s="632"/>
      <c r="G74" s="632"/>
      <c r="H74" s="632"/>
      <c r="I74" s="632"/>
      <c r="J74" s="632"/>
      <c r="K74" s="632"/>
      <c r="L74" s="632"/>
      <c r="M74" s="632"/>
      <c r="N74" s="632"/>
      <c r="O74" s="632"/>
      <c r="P74" s="632"/>
      <c r="Q74" s="632"/>
      <c r="R74" s="632"/>
      <c r="S74" s="632"/>
      <c r="T74" s="632"/>
      <c r="U74" s="632"/>
      <c r="V74" s="632"/>
    </row>
    <row r="75" spans="1:22">
      <c r="A75" s="632"/>
      <c r="B75" s="632"/>
      <c r="C75" s="632"/>
      <c r="D75" s="632"/>
      <c r="E75" s="632"/>
      <c r="F75" s="632"/>
      <c r="G75" s="632"/>
      <c r="H75" s="632"/>
      <c r="I75" s="632"/>
      <c r="J75" s="632"/>
      <c r="K75" s="632"/>
      <c r="L75" s="632"/>
      <c r="M75" s="632"/>
      <c r="N75" s="632"/>
      <c r="O75" s="632"/>
      <c r="P75" s="632"/>
      <c r="Q75" s="632"/>
      <c r="R75" s="632"/>
      <c r="S75" s="632"/>
      <c r="T75" s="632"/>
      <c r="U75" s="632"/>
      <c r="V75" s="632"/>
    </row>
    <row r="76" spans="1:22">
      <c r="A76" s="632"/>
      <c r="B76" s="632"/>
      <c r="C76" s="632"/>
      <c r="D76" s="632"/>
      <c r="E76" s="632"/>
      <c r="F76" s="632"/>
      <c r="G76" s="632"/>
      <c r="H76" s="632"/>
      <c r="I76" s="632"/>
      <c r="J76" s="632"/>
      <c r="K76" s="632"/>
      <c r="L76" s="632"/>
      <c r="M76" s="632"/>
      <c r="N76" s="632"/>
      <c r="O76" s="632"/>
      <c r="P76" s="632"/>
      <c r="Q76" s="632"/>
      <c r="R76" s="632"/>
      <c r="S76" s="632"/>
      <c r="T76" s="632"/>
      <c r="U76" s="632"/>
      <c r="V76" s="632"/>
    </row>
    <row r="77" spans="1:22">
      <c r="A77" s="632"/>
      <c r="B77" s="632"/>
      <c r="C77" s="632"/>
      <c r="D77" s="632"/>
      <c r="E77" s="632"/>
      <c r="F77" s="632"/>
      <c r="G77" s="632"/>
      <c r="H77" s="632"/>
      <c r="I77" s="632"/>
      <c r="J77" s="632"/>
      <c r="K77" s="632"/>
      <c r="L77" s="632"/>
      <c r="M77" s="632"/>
      <c r="N77" s="632"/>
      <c r="O77" s="632"/>
      <c r="P77" s="632"/>
      <c r="Q77" s="632"/>
      <c r="R77" s="632"/>
      <c r="S77" s="632"/>
      <c r="T77" s="632"/>
      <c r="U77" s="632"/>
      <c r="V77" s="632"/>
    </row>
    <row r="78" spans="1:22">
      <c r="A78" s="632"/>
      <c r="B78" s="632"/>
      <c r="C78" s="632"/>
      <c r="D78" s="632"/>
      <c r="E78" s="632"/>
      <c r="F78" s="632"/>
      <c r="G78" s="632"/>
      <c r="H78" s="632"/>
      <c r="I78" s="632"/>
      <c r="J78" s="632"/>
      <c r="K78" s="632"/>
      <c r="L78" s="632"/>
      <c r="M78" s="632"/>
      <c r="N78" s="632"/>
      <c r="O78" s="632"/>
      <c r="P78" s="632"/>
      <c r="Q78" s="632"/>
      <c r="R78" s="632"/>
      <c r="S78" s="632"/>
      <c r="T78" s="632"/>
      <c r="U78" s="632"/>
      <c r="V78" s="632"/>
    </row>
    <row r="79" spans="1:22">
      <c r="A79" s="632"/>
      <c r="B79" s="632"/>
      <c r="C79" s="632"/>
      <c r="D79" s="632"/>
      <c r="E79" s="632"/>
      <c r="F79" s="632"/>
      <c r="G79" s="632"/>
      <c r="H79" s="632"/>
      <c r="I79" s="632"/>
      <c r="J79" s="632"/>
      <c r="K79" s="632"/>
      <c r="L79" s="632"/>
      <c r="M79" s="632"/>
      <c r="N79" s="632"/>
      <c r="O79" s="632"/>
      <c r="P79" s="632"/>
      <c r="Q79" s="632"/>
      <c r="R79" s="632"/>
      <c r="S79" s="632"/>
      <c r="T79" s="632"/>
      <c r="U79" s="632"/>
      <c r="V79" s="632"/>
    </row>
    <row r="80" spans="1:22">
      <c r="A80" s="632"/>
      <c r="B80" s="632"/>
      <c r="C80" s="632"/>
      <c r="D80" s="632"/>
      <c r="E80" s="632"/>
      <c r="F80" s="632"/>
      <c r="G80" s="632"/>
      <c r="H80" s="632"/>
      <c r="I80" s="632"/>
      <c r="J80" s="632"/>
      <c r="K80" s="632"/>
      <c r="L80" s="632"/>
      <c r="M80" s="632"/>
      <c r="N80" s="632"/>
      <c r="O80" s="632"/>
      <c r="P80" s="632"/>
      <c r="Q80" s="632"/>
      <c r="R80" s="632"/>
      <c r="S80" s="632"/>
      <c r="T80" s="632"/>
      <c r="U80" s="632"/>
      <c r="V80" s="632"/>
    </row>
    <row r="81" spans="1:22">
      <c r="A81" s="632"/>
      <c r="B81" s="632"/>
      <c r="C81" s="632"/>
      <c r="D81" s="632"/>
      <c r="E81" s="632"/>
      <c r="F81" s="632"/>
      <c r="G81" s="632"/>
      <c r="H81" s="632"/>
      <c r="I81" s="632"/>
      <c r="J81" s="632"/>
      <c r="K81" s="632"/>
      <c r="L81" s="632"/>
      <c r="M81" s="632"/>
      <c r="N81" s="632"/>
      <c r="O81" s="632"/>
      <c r="P81" s="632"/>
      <c r="Q81" s="632"/>
      <c r="R81" s="632"/>
      <c r="S81" s="632"/>
      <c r="T81" s="632"/>
      <c r="U81" s="632"/>
      <c r="V81" s="632"/>
    </row>
    <row r="82" spans="1:22">
      <c r="A82" s="632"/>
      <c r="B82" s="632"/>
      <c r="C82" s="632"/>
      <c r="D82" s="632"/>
      <c r="E82" s="632"/>
      <c r="F82" s="632"/>
      <c r="G82" s="632"/>
      <c r="H82" s="632"/>
      <c r="I82" s="632"/>
      <c r="J82" s="632"/>
      <c r="K82" s="632"/>
      <c r="L82" s="632"/>
      <c r="M82" s="632"/>
      <c r="N82" s="632"/>
      <c r="O82" s="632"/>
      <c r="P82" s="632"/>
      <c r="Q82" s="632"/>
      <c r="R82" s="632"/>
      <c r="S82" s="632"/>
      <c r="T82" s="632"/>
      <c r="U82" s="632"/>
      <c r="V82" s="632"/>
    </row>
    <row r="83" spans="1:22">
      <c r="A83" s="632"/>
      <c r="B83" s="632"/>
      <c r="C83" s="632"/>
      <c r="D83" s="632"/>
      <c r="E83" s="632"/>
      <c r="F83" s="632"/>
      <c r="G83" s="632"/>
      <c r="H83" s="632"/>
      <c r="I83" s="632"/>
      <c r="J83" s="632"/>
      <c r="K83" s="632"/>
      <c r="L83" s="632"/>
      <c r="M83" s="632"/>
      <c r="N83" s="632"/>
      <c r="O83" s="632"/>
      <c r="P83" s="632"/>
      <c r="Q83" s="632"/>
      <c r="R83" s="632"/>
      <c r="S83" s="632"/>
      <c r="T83" s="632"/>
      <c r="U83" s="632"/>
      <c r="V83" s="632"/>
    </row>
    <row r="84" spans="1:22">
      <c r="A84" s="632"/>
      <c r="B84" s="632"/>
      <c r="C84" s="632"/>
      <c r="D84" s="632"/>
      <c r="E84" s="632"/>
      <c r="F84" s="632"/>
      <c r="G84" s="632"/>
      <c r="H84" s="632"/>
      <c r="I84" s="632"/>
      <c r="J84" s="632"/>
      <c r="K84" s="632"/>
      <c r="L84" s="632"/>
      <c r="M84" s="632"/>
      <c r="N84" s="632"/>
      <c r="O84" s="632"/>
      <c r="P84" s="632"/>
      <c r="Q84" s="632"/>
      <c r="R84" s="632"/>
      <c r="S84" s="632"/>
      <c r="T84" s="632"/>
      <c r="U84" s="632"/>
      <c r="V84" s="632"/>
    </row>
    <row r="85" spans="1:22">
      <c r="A85" s="632"/>
      <c r="B85" s="632"/>
      <c r="C85" s="632"/>
      <c r="D85" s="632"/>
      <c r="E85" s="632"/>
      <c r="F85" s="632"/>
      <c r="G85" s="632"/>
      <c r="H85" s="632"/>
      <c r="I85" s="632"/>
      <c r="J85" s="632"/>
      <c r="K85" s="632"/>
      <c r="L85" s="632"/>
      <c r="M85" s="632"/>
      <c r="N85" s="632"/>
      <c r="O85" s="632"/>
      <c r="P85" s="632"/>
      <c r="Q85" s="632"/>
      <c r="R85" s="632"/>
      <c r="S85" s="632"/>
      <c r="T85" s="632"/>
      <c r="U85" s="632"/>
      <c r="V85" s="632"/>
    </row>
    <row r="86" spans="1:22">
      <c r="A86" s="632"/>
      <c r="B86" s="632"/>
      <c r="C86" s="632"/>
      <c r="D86" s="632"/>
      <c r="E86" s="632"/>
      <c r="F86" s="632"/>
      <c r="G86" s="632"/>
      <c r="H86" s="632"/>
      <c r="I86" s="632"/>
      <c r="J86" s="632"/>
      <c r="K86" s="632"/>
      <c r="L86" s="632"/>
      <c r="M86" s="632"/>
      <c r="N86" s="632"/>
      <c r="O86" s="632"/>
      <c r="P86" s="632"/>
      <c r="Q86" s="632"/>
      <c r="R86" s="632"/>
      <c r="S86" s="632"/>
      <c r="T86" s="632"/>
      <c r="U86" s="632"/>
      <c r="V86" s="632"/>
    </row>
    <row r="87" spans="1:22">
      <c r="A87" s="632"/>
      <c r="B87" s="632"/>
      <c r="C87" s="632"/>
      <c r="D87" s="632"/>
      <c r="E87" s="632"/>
      <c r="F87" s="632"/>
      <c r="G87" s="632"/>
      <c r="H87" s="632"/>
      <c r="I87" s="632"/>
      <c r="J87" s="632"/>
      <c r="K87" s="632"/>
      <c r="L87" s="632"/>
      <c r="M87" s="632"/>
      <c r="N87" s="632"/>
      <c r="O87" s="632"/>
      <c r="P87" s="632"/>
      <c r="Q87" s="632"/>
      <c r="R87" s="632"/>
      <c r="S87" s="632"/>
      <c r="T87" s="632"/>
      <c r="U87" s="632"/>
      <c r="V87" s="632"/>
    </row>
    <row r="88" spans="1:22">
      <c r="A88" s="632"/>
      <c r="B88" s="632"/>
      <c r="C88" s="632"/>
      <c r="D88" s="632"/>
      <c r="E88" s="632"/>
      <c r="F88" s="632"/>
      <c r="G88" s="632"/>
      <c r="H88" s="632"/>
      <c r="I88" s="632"/>
      <c r="J88" s="632"/>
      <c r="K88" s="632"/>
      <c r="L88" s="632"/>
      <c r="M88" s="632"/>
      <c r="N88" s="632"/>
      <c r="O88" s="632"/>
      <c r="P88" s="632"/>
      <c r="Q88" s="632"/>
      <c r="R88" s="632"/>
      <c r="S88" s="632"/>
      <c r="T88" s="632"/>
      <c r="U88" s="632"/>
      <c r="V88" s="632"/>
    </row>
    <row r="89" spans="1:22">
      <c r="A89" s="632"/>
      <c r="B89" s="632"/>
      <c r="C89" s="632"/>
      <c r="D89" s="632"/>
      <c r="E89" s="632"/>
      <c r="F89" s="632"/>
      <c r="G89" s="632"/>
      <c r="H89" s="632"/>
      <c r="I89" s="632"/>
      <c r="J89" s="632"/>
      <c r="K89" s="632"/>
      <c r="L89" s="632"/>
      <c r="M89" s="632"/>
      <c r="N89" s="632"/>
      <c r="O89" s="632"/>
      <c r="P89" s="632"/>
      <c r="Q89" s="632"/>
      <c r="R89" s="632"/>
      <c r="S89" s="632"/>
      <c r="T89" s="632"/>
      <c r="U89" s="632"/>
      <c r="V89" s="632"/>
    </row>
    <row r="90" spans="1:22">
      <c r="A90" s="632"/>
      <c r="B90" s="632"/>
      <c r="C90" s="632"/>
      <c r="D90" s="632"/>
      <c r="E90" s="632"/>
      <c r="F90" s="632"/>
      <c r="G90" s="632"/>
      <c r="H90" s="632"/>
      <c r="I90" s="632"/>
      <c r="J90" s="632"/>
      <c r="K90" s="632"/>
      <c r="L90" s="632"/>
      <c r="M90" s="632"/>
      <c r="N90" s="632"/>
      <c r="O90" s="632"/>
      <c r="P90" s="632"/>
      <c r="Q90" s="632"/>
      <c r="R90" s="632"/>
      <c r="S90" s="632"/>
      <c r="T90" s="632"/>
      <c r="U90" s="632"/>
      <c r="V90" s="632"/>
    </row>
    <row r="91" spans="1:22">
      <c r="A91" s="632"/>
      <c r="B91" s="632"/>
      <c r="C91" s="632"/>
      <c r="D91" s="632"/>
      <c r="E91" s="632"/>
      <c r="F91" s="632"/>
      <c r="G91" s="632"/>
      <c r="H91" s="632"/>
      <c r="I91" s="632"/>
      <c r="J91" s="632"/>
      <c r="K91" s="632"/>
      <c r="L91" s="632"/>
      <c r="M91" s="632"/>
      <c r="N91" s="632"/>
      <c r="O91" s="632"/>
      <c r="P91" s="632"/>
      <c r="Q91" s="632"/>
      <c r="R91" s="632"/>
      <c r="S91" s="632"/>
      <c r="T91" s="632"/>
      <c r="U91" s="632"/>
      <c r="V91" s="632"/>
    </row>
    <row r="92" spans="1:22">
      <c r="A92" s="632"/>
      <c r="B92" s="632"/>
      <c r="C92" s="632"/>
      <c r="D92" s="632"/>
      <c r="E92" s="632"/>
      <c r="F92" s="632"/>
      <c r="G92" s="632"/>
      <c r="H92" s="632"/>
      <c r="I92" s="632"/>
      <c r="J92" s="632"/>
      <c r="K92" s="632"/>
      <c r="L92" s="632"/>
      <c r="M92" s="632"/>
      <c r="N92" s="632"/>
      <c r="O92" s="632"/>
      <c r="P92" s="632"/>
      <c r="Q92" s="632"/>
      <c r="R92" s="632"/>
      <c r="S92" s="632"/>
      <c r="T92" s="632"/>
      <c r="U92" s="632"/>
      <c r="V92" s="632"/>
    </row>
    <row r="93" spans="1:22">
      <c r="A93" s="632"/>
      <c r="B93" s="632"/>
      <c r="C93" s="632"/>
      <c r="D93" s="632"/>
      <c r="E93" s="632"/>
      <c r="F93" s="632"/>
      <c r="G93" s="632"/>
      <c r="H93" s="632"/>
      <c r="I93" s="632"/>
      <c r="J93" s="632"/>
      <c r="K93" s="632"/>
      <c r="L93" s="632"/>
      <c r="M93" s="632"/>
      <c r="N93" s="632"/>
      <c r="O93" s="632"/>
      <c r="P93" s="632"/>
      <c r="Q93" s="632"/>
      <c r="R93" s="632"/>
      <c r="S93" s="632"/>
      <c r="T93" s="632"/>
      <c r="U93" s="632"/>
      <c r="V93" s="632"/>
    </row>
    <row r="94" spans="1:22">
      <c r="A94" s="632"/>
      <c r="B94" s="632"/>
      <c r="C94" s="632"/>
      <c r="D94" s="632"/>
      <c r="E94" s="632"/>
      <c r="F94" s="632"/>
      <c r="G94" s="632"/>
      <c r="H94" s="632"/>
      <c r="I94" s="632"/>
      <c r="J94" s="632"/>
      <c r="K94" s="632"/>
      <c r="L94" s="632"/>
      <c r="M94" s="632"/>
      <c r="N94" s="632"/>
      <c r="O94" s="632"/>
      <c r="P94" s="632"/>
      <c r="Q94" s="632"/>
      <c r="R94" s="632"/>
      <c r="S94" s="632"/>
      <c r="T94" s="632"/>
      <c r="U94" s="632"/>
      <c r="V94" s="632"/>
    </row>
    <row r="95" spans="1:22">
      <c r="A95" s="632"/>
      <c r="B95" s="632"/>
      <c r="C95" s="632"/>
      <c r="D95" s="632"/>
      <c r="E95" s="632"/>
      <c r="F95" s="632"/>
      <c r="G95" s="632"/>
      <c r="H95" s="632"/>
      <c r="I95" s="632"/>
      <c r="J95" s="632"/>
      <c r="K95" s="632"/>
      <c r="L95" s="632"/>
      <c r="M95" s="632"/>
      <c r="N95" s="632"/>
      <c r="O95" s="632"/>
      <c r="P95" s="632"/>
      <c r="Q95" s="632"/>
      <c r="R95" s="632"/>
      <c r="S95" s="632"/>
      <c r="T95" s="632"/>
      <c r="U95" s="632"/>
      <c r="V95" s="632"/>
    </row>
    <row r="96" spans="1:22">
      <c r="A96" s="632"/>
      <c r="B96" s="632"/>
      <c r="C96" s="632"/>
      <c r="D96" s="632"/>
      <c r="E96" s="632"/>
      <c r="F96" s="632"/>
      <c r="G96" s="632"/>
      <c r="H96" s="632"/>
      <c r="I96" s="632"/>
      <c r="J96" s="632"/>
      <c r="K96" s="632"/>
      <c r="L96" s="632"/>
      <c r="M96" s="632"/>
      <c r="N96" s="632"/>
      <c r="O96" s="632"/>
      <c r="P96" s="632"/>
      <c r="Q96" s="632"/>
      <c r="R96" s="632"/>
      <c r="S96" s="632"/>
      <c r="T96" s="632"/>
      <c r="U96" s="632"/>
      <c r="V96" s="632"/>
    </row>
    <row r="97" spans="1:22">
      <c r="A97" s="632"/>
      <c r="B97" s="632"/>
      <c r="C97" s="632"/>
      <c r="D97" s="632"/>
      <c r="E97" s="632"/>
      <c r="F97" s="632"/>
      <c r="G97" s="632"/>
      <c r="H97" s="632"/>
      <c r="I97" s="632"/>
      <c r="J97" s="632"/>
      <c r="K97" s="632"/>
      <c r="L97" s="632"/>
      <c r="M97" s="632"/>
      <c r="N97" s="632"/>
      <c r="O97" s="632"/>
      <c r="P97" s="632"/>
      <c r="Q97" s="632"/>
      <c r="R97" s="632"/>
      <c r="S97" s="632"/>
      <c r="T97" s="632"/>
      <c r="U97" s="632"/>
      <c r="V97" s="632"/>
    </row>
    <row r="98" spans="1:22">
      <c r="A98" s="632"/>
      <c r="B98" s="632"/>
      <c r="C98" s="632"/>
      <c r="D98" s="632"/>
      <c r="E98" s="632"/>
      <c r="F98" s="632"/>
      <c r="G98" s="632"/>
      <c r="H98" s="632"/>
      <c r="I98" s="632"/>
      <c r="J98" s="632"/>
      <c r="K98" s="632"/>
      <c r="L98" s="632"/>
      <c r="M98" s="632"/>
      <c r="N98" s="632"/>
      <c r="O98" s="632"/>
      <c r="P98" s="632"/>
      <c r="Q98" s="632"/>
      <c r="R98" s="632"/>
      <c r="S98" s="632"/>
      <c r="T98" s="632"/>
      <c r="U98" s="632"/>
      <c r="V98" s="632"/>
    </row>
    <row r="99" spans="1:22">
      <c r="A99" s="632"/>
      <c r="B99" s="632"/>
      <c r="C99" s="632"/>
      <c r="D99" s="632"/>
      <c r="E99" s="632"/>
      <c r="F99" s="632"/>
      <c r="G99" s="632"/>
      <c r="H99" s="632"/>
      <c r="I99" s="632"/>
      <c r="J99" s="632"/>
      <c r="K99" s="632"/>
      <c r="L99" s="632"/>
      <c r="M99" s="632"/>
      <c r="N99" s="632"/>
      <c r="O99" s="632"/>
      <c r="P99" s="632"/>
      <c r="Q99" s="632"/>
      <c r="R99" s="632"/>
      <c r="S99" s="632"/>
      <c r="T99" s="632"/>
      <c r="U99" s="632"/>
      <c r="V99" s="632"/>
    </row>
    <row r="100" spans="1:22">
      <c r="A100" s="632"/>
      <c r="B100" s="632"/>
      <c r="C100" s="632"/>
      <c r="D100" s="632"/>
      <c r="E100" s="632"/>
      <c r="F100" s="632"/>
      <c r="G100" s="632"/>
      <c r="H100" s="632"/>
      <c r="I100" s="632"/>
      <c r="J100" s="632"/>
      <c r="K100" s="632"/>
      <c r="L100" s="632"/>
      <c r="M100" s="632"/>
      <c r="N100" s="632"/>
      <c r="O100" s="632"/>
      <c r="P100" s="632"/>
      <c r="Q100" s="632"/>
      <c r="R100" s="632"/>
      <c r="S100" s="632"/>
      <c r="T100" s="632"/>
      <c r="U100" s="632"/>
      <c r="V100" s="632"/>
    </row>
    <row r="101" spans="1:22">
      <c r="A101" s="632"/>
      <c r="B101" s="632"/>
      <c r="C101" s="632"/>
      <c r="D101" s="632"/>
      <c r="E101" s="632"/>
      <c r="F101" s="632"/>
      <c r="G101" s="632"/>
      <c r="H101" s="632"/>
      <c r="I101" s="632"/>
      <c r="J101" s="632"/>
      <c r="K101" s="632"/>
      <c r="L101" s="632"/>
      <c r="M101" s="632"/>
      <c r="N101" s="632"/>
      <c r="O101" s="632"/>
      <c r="P101" s="632"/>
      <c r="Q101" s="632"/>
      <c r="R101" s="632"/>
      <c r="S101" s="632"/>
      <c r="T101" s="632"/>
      <c r="U101" s="632"/>
      <c r="V101" s="632"/>
    </row>
    <row r="102" spans="1:22">
      <c r="A102" s="632"/>
      <c r="B102" s="632"/>
      <c r="C102" s="632"/>
      <c r="D102" s="632"/>
      <c r="E102" s="632"/>
      <c r="F102" s="632"/>
      <c r="G102" s="632"/>
      <c r="H102" s="632"/>
      <c r="I102" s="632"/>
      <c r="J102" s="632"/>
      <c r="K102" s="632"/>
      <c r="L102" s="632"/>
      <c r="M102" s="632"/>
      <c r="N102" s="632"/>
      <c r="O102" s="632"/>
      <c r="P102" s="632"/>
      <c r="Q102" s="632"/>
      <c r="R102" s="632"/>
      <c r="S102" s="632"/>
      <c r="T102" s="632"/>
      <c r="U102" s="632"/>
      <c r="V102" s="632"/>
    </row>
    <row r="103" spans="1:22">
      <c r="A103" s="632"/>
      <c r="B103" s="632"/>
      <c r="C103" s="632"/>
      <c r="D103" s="632"/>
      <c r="E103" s="632"/>
      <c r="F103" s="632"/>
      <c r="G103" s="632"/>
      <c r="H103" s="632"/>
      <c r="I103" s="632"/>
      <c r="J103" s="632"/>
      <c r="K103" s="632"/>
      <c r="L103" s="632"/>
      <c r="M103" s="632"/>
      <c r="N103" s="632"/>
      <c r="O103" s="632"/>
      <c r="P103" s="632"/>
      <c r="Q103" s="632"/>
      <c r="R103" s="632"/>
      <c r="S103" s="632"/>
      <c r="T103" s="632"/>
      <c r="U103" s="632"/>
      <c r="V103" s="632"/>
    </row>
    <row r="104" spans="1:22">
      <c r="A104" s="632"/>
      <c r="B104" s="632"/>
      <c r="C104" s="632"/>
      <c r="D104" s="632"/>
      <c r="E104" s="632"/>
      <c r="F104" s="632"/>
      <c r="G104" s="632"/>
      <c r="H104" s="632"/>
      <c r="I104" s="632"/>
      <c r="J104" s="632"/>
      <c r="K104" s="632"/>
      <c r="L104" s="632"/>
      <c r="M104" s="632"/>
      <c r="N104" s="632"/>
      <c r="O104" s="632"/>
      <c r="P104" s="632"/>
      <c r="Q104" s="632"/>
      <c r="R104" s="632"/>
      <c r="S104" s="632"/>
      <c r="T104" s="632"/>
      <c r="U104" s="632"/>
      <c r="V104" s="632"/>
    </row>
    <row r="105" spans="1:22">
      <c r="A105" s="632"/>
      <c r="B105" s="632"/>
      <c r="C105" s="632"/>
      <c r="D105" s="632"/>
      <c r="E105" s="632"/>
      <c r="F105" s="632"/>
      <c r="G105" s="632"/>
      <c r="H105" s="632"/>
      <c r="I105" s="632"/>
      <c r="J105" s="632"/>
      <c r="K105" s="632"/>
      <c r="L105" s="632"/>
      <c r="M105" s="632"/>
      <c r="N105" s="632"/>
      <c r="O105" s="632"/>
      <c r="P105" s="632"/>
      <c r="Q105" s="632"/>
      <c r="R105" s="632"/>
      <c r="S105" s="632"/>
      <c r="T105" s="632"/>
      <c r="U105" s="632"/>
      <c r="V105" s="632"/>
    </row>
    <row r="106" spans="1:22">
      <c r="A106" s="632"/>
      <c r="B106" s="632"/>
      <c r="C106" s="632"/>
      <c r="D106" s="632"/>
      <c r="E106" s="632"/>
      <c r="F106" s="632"/>
      <c r="G106" s="632"/>
      <c r="H106" s="632"/>
      <c r="I106" s="632"/>
      <c r="J106" s="632"/>
      <c r="K106" s="632"/>
      <c r="L106" s="632"/>
      <c r="M106" s="632"/>
      <c r="N106" s="632"/>
      <c r="O106" s="632"/>
      <c r="P106" s="632"/>
      <c r="Q106" s="632"/>
      <c r="R106" s="632"/>
      <c r="S106" s="632"/>
      <c r="T106" s="632"/>
      <c r="U106" s="632"/>
      <c r="V106" s="632"/>
    </row>
    <row r="107" spans="1:22">
      <c r="A107" s="632"/>
      <c r="B107" s="632"/>
      <c r="C107" s="632"/>
      <c r="D107" s="632"/>
      <c r="E107" s="632"/>
      <c r="F107" s="632"/>
      <c r="G107" s="632"/>
      <c r="H107" s="632"/>
      <c r="I107" s="632"/>
      <c r="J107" s="632"/>
      <c r="K107" s="632"/>
      <c r="L107" s="632"/>
      <c r="M107" s="632"/>
      <c r="N107" s="632"/>
      <c r="O107" s="632"/>
      <c r="P107" s="632"/>
      <c r="Q107" s="632"/>
      <c r="R107" s="632"/>
      <c r="S107" s="632"/>
      <c r="T107" s="632"/>
      <c r="U107" s="632"/>
      <c r="V107" s="632"/>
    </row>
    <row r="108" spans="1:22">
      <c r="A108" s="632"/>
      <c r="B108" s="632"/>
      <c r="C108" s="632"/>
      <c r="D108" s="632"/>
      <c r="E108" s="632"/>
      <c r="F108" s="632"/>
      <c r="G108" s="632"/>
      <c r="H108" s="632"/>
      <c r="I108" s="632"/>
      <c r="J108" s="632"/>
      <c r="K108" s="632"/>
      <c r="L108" s="632"/>
      <c r="M108" s="632"/>
      <c r="N108" s="632"/>
      <c r="O108" s="632"/>
      <c r="P108" s="632"/>
      <c r="Q108" s="632"/>
      <c r="R108" s="632"/>
      <c r="S108" s="632"/>
      <c r="T108" s="632"/>
      <c r="U108" s="632"/>
      <c r="V108" s="632"/>
    </row>
    <row r="109" spans="1:22">
      <c r="A109" s="632"/>
      <c r="B109" s="632"/>
      <c r="C109" s="632"/>
      <c r="D109" s="632"/>
      <c r="E109" s="632"/>
      <c r="F109" s="632"/>
      <c r="G109" s="632"/>
      <c r="H109" s="632"/>
      <c r="I109" s="632"/>
      <c r="J109" s="632"/>
      <c r="K109" s="632"/>
      <c r="L109" s="632"/>
      <c r="M109" s="632"/>
      <c r="N109" s="632"/>
      <c r="O109" s="632"/>
      <c r="P109" s="632"/>
      <c r="Q109" s="632"/>
      <c r="R109" s="632"/>
      <c r="S109" s="632"/>
      <c r="T109" s="632"/>
      <c r="U109" s="632"/>
      <c r="V109" s="632"/>
    </row>
    <row r="110" spans="1:22">
      <c r="A110" s="632"/>
      <c r="B110" s="632"/>
      <c r="C110" s="632"/>
      <c r="D110" s="632"/>
      <c r="E110" s="632"/>
      <c r="F110" s="632"/>
      <c r="G110" s="632"/>
      <c r="H110" s="632"/>
      <c r="I110" s="632"/>
      <c r="J110" s="632"/>
      <c r="K110" s="632"/>
      <c r="L110" s="632"/>
      <c r="M110" s="632"/>
      <c r="N110" s="632"/>
      <c r="O110" s="632"/>
      <c r="P110" s="632"/>
      <c r="Q110" s="632"/>
      <c r="R110" s="632"/>
      <c r="S110" s="632"/>
      <c r="T110" s="632"/>
      <c r="U110" s="632"/>
      <c r="V110" s="632"/>
    </row>
    <row r="111" spans="1:22">
      <c r="A111" s="632"/>
      <c r="B111" s="632"/>
      <c r="C111" s="632"/>
      <c r="D111" s="632"/>
      <c r="E111" s="632"/>
      <c r="F111" s="632"/>
      <c r="G111" s="632"/>
      <c r="H111" s="632"/>
      <c r="I111" s="632"/>
      <c r="J111" s="632"/>
      <c r="K111" s="632"/>
      <c r="L111" s="632"/>
      <c r="M111" s="632"/>
      <c r="N111" s="632"/>
      <c r="O111" s="632"/>
      <c r="P111" s="632"/>
      <c r="Q111" s="632"/>
      <c r="R111" s="632"/>
      <c r="S111" s="632"/>
      <c r="T111" s="632"/>
      <c r="U111" s="632"/>
      <c r="V111" s="632"/>
    </row>
    <row r="112" spans="1:22">
      <c r="A112" s="632"/>
      <c r="B112" s="632"/>
      <c r="C112" s="632"/>
      <c r="D112" s="632"/>
      <c r="E112" s="632"/>
      <c r="F112" s="632"/>
      <c r="G112" s="632"/>
      <c r="H112" s="632"/>
      <c r="I112" s="632"/>
      <c r="J112" s="632"/>
      <c r="K112" s="632"/>
      <c r="L112" s="632"/>
      <c r="M112" s="632"/>
      <c r="N112" s="632"/>
      <c r="O112" s="632"/>
      <c r="P112" s="632"/>
      <c r="Q112" s="632"/>
      <c r="R112" s="632"/>
      <c r="S112" s="632"/>
      <c r="T112" s="632"/>
      <c r="U112" s="632"/>
      <c r="V112" s="632"/>
    </row>
    <row r="113" spans="1:22">
      <c r="A113" s="632"/>
      <c r="B113" s="632"/>
      <c r="C113" s="632"/>
      <c r="D113" s="632"/>
      <c r="E113" s="632"/>
      <c r="F113" s="632"/>
      <c r="G113" s="632"/>
      <c r="H113" s="632"/>
      <c r="I113" s="632"/>
      <c r="J113" s="632"/>
      <c r="K113" s="632"/>
      <c r="L113" s="632"/>
      <c r="M113" s="632"/>
      <c r="N113" s="632"/>
      <c r="O113" s="632"/>
      <c r="P113" s="632"/>
      <c r="Q113" s="632"/>
      <c r="R113" s="632"/>
      <c r="S113" s="632"/>
      <c r="T113" s="632"/>
      <c r="U113" s="632"/>
      <c r="V113" s="632"/>
    </row>
    <row r="114" spans="1:22">
      <c r="A114" s="632"/>
      <c r="B114" s="632"/>
      <c r="C114" s="632"/>
      <c r="D114" s="632"/>
      <c r="E114" s="632"/>
      <c r="F114" s="632"/>
      <c r="G114" s="632"/>
      <c r="H114" s="632"/>
      <c r="I114" s="632"/>
      <c r="J114" s="632"/>
      <c r="K114" s="632"/>
      <c r="L114" s="632"/>
      <c r="M114" s="632"/>
      <c r="N114" s="632"/>
      <c r="O114" s="632"/>
      <c r="P114" s="632"/>
      <c r="Q114" s="632"/>
      <c r="R114" s="632"/>
      <c r="S114" s="632"/>
      <c r="T114" s="632"/>
      <c r="U114" s="632"/>
      <c r="V114" s="632"/>
    </row>
    <row r="115" spans="1:22">
      <c r="A115" s="632"/>
      <c r="B115" s="632"/>
      <c r="C115" s="632"/>
      <c r="D115" s="632"/>
      <c r="E115" s="632"/>
      <c r="F115" s="632"/>
      <c r="G115" s="632"/>
      <c r="H115" s="632"/>
      <c r="I115" s="632"/>
      <c r="J115" s="632"/>
      <c r="K115" s="632"/>
      <c r="L115" s="632"/>
      <c r="M115" s="632"/>
      <c r="N115" s="632"/>
      <c r="O115" s="632"/>
      <c r="P115" s="632"/>
      <c r="Q115" s="632"/>
      <c r="R115" s="632"/>
      <c r="S115" s="632"/>
      <c r="T115" s="632"/>
      <c r="U115" s="632"/>
      <c r="V115" s="632"/>
    </row>
    <row r="116" spans="1:22">
      <c r="A116" s="632"/>
      <c r="B116" s="632"/>
      <c r="C116" s="632"/>
      <c r="D116" s="632"/>
      <c r="E116" s="632"/>
      <c r="F116" s="632"/>
      <c r="G116" s="632"/>
      <c r="H116" s="632"/>
      <c r="I116" s="632"/>
      <c r="J116" s="632"/>
      <c r="K116" s="632"/>
      <c r="L116" s="632"/>
      <c r="M116" s="632"/>
      <c r="N116" s="632"/>
      <c r="O116" s="632"/>
      <c r="P116" s="632"/>
      <c r="Q116" s="632"/>
      <c r="R116" s="632"/>
      <c r="S116" s="632"/>
      <c r="T116" s="632"/>
      <c r="U116" s="632"/>
      <c r="V116" s="632"/>
    </row>
    <row r="117" spans="1:22">
      <c r="A117" s="632"/>
      <c r="B117" s="632"/>
      <c r="C117" s="632"/>
      <c r="D117" s="632"/>
      <c r="E117" s="632"/>
      <c r="F117" s="632"/>
      <c r="G117" s="632"/>
      <c r="H117" s="632"/>
      <c r="I117" s="632"/>
      <c r="J117" s="632"/>
      <c r="K117" s="632"/>
      <c r="L117" s="632"/>
      <c r="M117" s="632"/>
      <c r="N117" s="632"/>
      <c r="O117" s="632"/>
      <c r="P117" s="632"/>
      <c r="Q117" s="632"/>
      <c r="R117" s="632"/>
      <c r="S117" s="632"/>
      <c r="T117" s="632"/>
      <c r="U117" s="632"/>
      <c r="V117" s="632"/>
    </row>
    <row r="118" spans="1:22">
      <c r="A118" s="632"/>
      <c r="B118" s="632"/>
      <c r="C118" s="632"/>
      <c r="D118" s="632"/>
      <c r="E118" s="632"/>
      <c r="F118" s="632"/>
      <c r="G118" s="632"/>
      <c r="H118" s="632"/>
      <c r="I118" s="632"/>
      <c r="J118" s="632"/>
      <c r="K118" s="632"/>
      <c r="L118" s="632"/>
      <c r="M118" s="632"/>
      <c r="N118" s="632"/>
      <c r="O118" s="632"/>
      <c r="P118" s="632"/>
      <c r="Q118" s="632"/>
      <c r="R118" s="632"/>
      <c r="S118" s="632"/>
      <c r="T118" s="632"/>
      <c r="U118" s="632"/>
      <c r="V118" s="632"/>
    </row>
    <row r="119" spans="1:22">
      <c r="A119" s="632"/>
      <c r="B119" s="632"/>
      <c r="C119" s="632"/>
      <c r="D119" s="632"/>
      <c r="E119" s="632"/>
      <c r="F119" s="632"/>
      <c r="G119" s="632"/>
      <c r="H119" s="632"/>
      <c r="I119" s="632"/>
      <c r="J119" s="632"/>
      <c r="K119" s="632"/>
      <c r="L119" s="632"/>
      <c r="M119" s="632"/>
      <c r="N119" s="632"/>
      <c r="O119" s="632"/>
      <c r="P119" s="632"/>
      <c r="Q119" s="632"/>
      <c r="R119" s="632"/>
      <c r="S119" s="632"/>
      <c r="T119" s="632"/>
      <c r="U119" s="632"/>
      <c r="V119" s="632"/>
    </row>
    <row r="120" spans="1:22">
      <c r="A120" s="632"/>
      <c r="B120" s="632"/>
      <c r="C120" s="632"/>
      <c r="D120" s="632"/>
      <c r="E120" s="632"/>
      <c r="F120" s="632"/>
      <c r="G120" s="632"/>
      <c r="H120" s="632"/>
      <c r="I120" s="632"/>
      <c r="J120" s="632"/>
      <c r="K120" s="632"/>
      <c r="L120" s="632"/>
      <c r="M120" s="632"/>
      <c r="N120" s="632"/>
      <c r="O120" s="632"/>
      <c r="P120" s="632"/>
      <c r="Q120" s="632"/>
      <c r="R120" s="632"/>
      <c r="S120" s="632"/>
      <c r="T120" s="632"/>
      <c r="U120" s="632"/>
      <c r="V120" s="632"/>
    </row>
    <row r="121" spans="1:22">
      <c r="A121" s="632"/>
      <c r="B121" s="632"/>
      <c r="C121" s="632"/>
      <c r="D121" s="632"/>
      <c r="E121" s="632"/>
      <c r="F121" s="632"/>
      <c r="G121" s="632"/>
      <c r="H121" s="632"/>
      <c r="I121" s="632"/>
      <c r="J121" s="632"/>
      <c r="K121" s="632"/>
      <c r="L121" s="632"/>
      <c r="M121" s="632"/>
      <c r="N121" s="632"/>
      <c r="O121" s="632"/>
      <c r="P121" s="632"/>
      <c r="Q121" s="632"/>
      <c r="R121" s="632"/>
      <c r="S121" s="632"/>
      <c r="T121" s="632"/>
      <c r="U121" s="632"/>
      <c r="V121" s="632"/>
    </row>
    <row r="122" spans="1:22">
      <c r="A122" s="632"/>
      <c r="B122" s="632"/>
      <c r="C122" s="632"/>
      <c r="D122" s="632"/>
      <c r="E122" s="632"/>
      <c r="F122" s="632"/>
      <c r="G122" s="632"/>
      <c r="H122" s="632"/>
      <c r="I122" s="632"/>
      <c r="J122" s="632"/>
      <c r="K122" s="632"/>
      <c r="L122" s="632"/>
      <c r="M122" s="632"/>
      <c r="N122" s="632"/>
      <c r="O122" s="632"/>
      <c r="P122" s="632"/>
      <c r="Q122" s="632"/>
      <c r="R122" s="632"/>
      <c r="S122" s="632"/>
      <c r="T122" s="632"/>
      <c r="U122" s="632"/>
      <c r="V122" s="632"/>
    </row>
    <row r="123" spans="1:22">
      <c r="A123" s="632"/>
      <c r="B123" s="632"/>
      <c r="C123" s="632"/>
      <c r="D123" s="632"/>
      <c r="E123" s="632"/>
      <c r="F123" s="632"/>
      <c r="G123" s="632"/>
      <c r="H123" s="632"/>
      <c r="I123" s="632"/>
      <c r="J123" s="632"/>
      <c r="K123" s="632"/>
      <c r="L123" s="632"/>
      <c r="M123" s="632"/>
      <c r="N123" s="632"/>
      <c r="O123" s="632"/>
      <c r="P123" s="632"/>
      <c r="Q123" s="632"/>
      <c r="R123" s="632"/>
      <c r="S123" s="632"/>
      <c r="T123" s="632"/>
      <c r="U123" s="632"/>
      <c r="V123" s="632"/>
    </row>
    <row r="124" spans="1:22">
      <c r="A124" s="632"/>
      <c r="B124" s="632"/>
      <c r="C124" s="632"/>
      <c r="D124" s="632"/>
      <c r="E124" s="632"/>
      <c r="F124" s="632"/>
      <c r="G124" s="632"/>
      <c r="H124" s="632"/>
      <c r="I124" s="632"/>
      <c r="J124" s="632"/>
      <c r="K124" s="632"/>
      <c r="L124" s="632"/>
      <c r="M124" s="632"/>
      <c r="N124" s="632"/>
      <c r="O124" s="632"/>
      <c r="P124" s="632"/>
      <c r="Q124" s="632"/>
      <c r="R124" s="632"/>
      <c r="S124" s="632"/>
      <c r="T124" s="632"/>
      <c r="U124" s="632"/>
      <c r="V124" s="632"/>
    </row>
    <row r="125" spans="1:22">
      <c r="A125" s="632"/>
      <c r="B125" s="632"/>
      <c r="C125" s="632"/>
      <c r="D125" s="632"/>
      <c r="E125" s="632"/>
      <c r="F125" s="632"/>
      <c r="G125" s="632"/>
      <c r="H125" s="632"/>
      <c r="I125" s="632"/>
      <c r="J125" s="632"/>
      <c r="K125" s="632"/>
      <c r="L125" s="632"/>
      <c r="M125" s="632"/>
      <c r="N125" s="632"/>
      <c r="O125" s="632"/>
      <c r="P125" s="632"/>
      <c r="Q125" s="632"/>
      <c r="R125" s="632"/>
      <c r="S125" s="632"/>
      <c r="T125" s="632"/>
      <c r="U125" s="632"/>
      <c r="V125" s="632"/>
    </row>
    <row r="126" spans="1:22">
      <c r="A126" s="632"/>
      <c r="B126" s="632"/>
      <c r="C126" s="632"/>
      <c r="D126" s="632"/>
      <c r="E126" s="632"/>
      <c r="F126" s="632"/>
      <c r="G126" s="632"/>
      <c r="H126" s="632"/>
      <c r="I126" s="632"/>
      <c r="J126" s="632"/>
      <c r="K126" s="632"/>
      <c r="L126" s="632"/>
      <c r="M126" s="632"/>
      <c r="N126" s="632"/>
      <c r="O126" s="632"/>
      <c r="P126" s="632"/>
      <c r="Q126" s="632"/>
      <c r="R126" s="632"/>
      <c r="S126" s="632"/>
      <c r="T126" s="632"/>
      <c r="U126" s="632"/>
      <c r="V126" s="632"/>
    </row>
    <row r="127" spans="1:22">
      <c r="A127" s="632"/>
      <c r="B127" s="632"/>
      <c r="C127" s="632"/>
      <c r="D127" s="632"/>
      <c r="E127" s="632"/>
      <c r="F127" s="632"/>
      <c r="G127" s="632"/>
      <c r="H127" s="632"/>
      <c r="I127" s="632"/>
      <c r="J127" s="632"/>
      <c r="K127" s="632"/>
      <c r="L127" s="632"/>
      <c r="M127" s="632"/>
      <c r="N127" s="632"/>
      <c r="O127" s="632"/>
      <c r="P127" s="632"/>
      <c r="Q127" s="632"/>
      <c r="R127" s="632"/>
      <c r="S127" s="632"/>
      <c r="T127" s="632"/>
      <c r="U127" s="632"/>
      <c r="V127" s="632"/>
    </row>
    <row r="128" spans="1:22">
      <c r="A128" s="632"/>
      <c r="B128" s="632"/>
      <c r="C128" s="632"/>
      <c r="D128" s="632"/>
      <c r="E128" s="632"/>
      <c r="F128" s="632"/>
      <c r="G128" s="632"/>
      <c r="H128" s="632"/>
      <c r="I128" s="632"/>
      <c r="J128" s="632"/>
      <c r="K128" s="632"/>
      <c r="L128" s="632"/>
      <c r="M128" s="632"/>
      <c r="N128" s="632"/>
      <c r="O128" s="632"/>
      <c r="P128" s="632"/>
      <c r="Q128" s="632"/>
      <c r="R128" s="632"/>
      <c r="S128" s="632"/>
      <c r="T128" s="632"/>
      <c r="U128" s="632"/>
      <c r="V128" s="632"/>
    </row>
    <row r="129" spans="1:22">
      <c r="A129" s="632"/>
      <c r="B129" s="632"/>
      <c r="C129" s="632"/>
      <c r="D129" s="632"/>
      <c r="E129" s="632"/>
      <c r="F129" s="632"/>
      <c r="G129" s="632"/>
      <c r="H129" s="632"/>
      <c r="I129" s="632"/>
      <c r="J129" s="632"/>
      <c r="K129" s="632"/>
      <c r="L129" s="632"/>
      <c r="M129" s="632"/>
      <c r="N129" s="632"/>
      <c r="O129" s="632"/>
      <c r="P129" s="632"/>
      <c r="Q129" s="632"/>
      <c r="R129" s="632"/>
      <c r="S129" s="632"/>
      <c r="T129" s="632"/>
      <c r="U129" s="632"/>
      <c r="V129" s="632"/>
    </row>
    <row r="130" spans="1:22">
      <c r="A130" s="632"/>
      <c r="B130" s="632"/>
      <c r="C130" s="632"/>
      <c r="D130" s="632"/>
      <c r="E130" s="632"/>
      <c r="F130" s="632"/>
      <c r="G130" s="632"/>
      <c r="H130" s="632"/>
      <c r="I130" s="632"/>
      <c r="J130" s="632"/>
      <c r="K130" s="632"/>
      <c r="L130" s="632"/>
      <c r="M130" s="632"/>
      <c r="N130" s="632"/>
      <c r="O130" s="632"/>
      <c r="P130" s="632"/>
      <c r="Q130" s="632"/>
      <c r="R130" s="632"/>
      <c r="S130" s="632"/>
      <c r="T130" s="632"/>
      <c r="U130" s="632"/>
      <c r="V130" s="632"/>
    </row>
    <row r="131" spans="1:22">
      <c r="A131" s="632"/>
      <c r="B131" s="632"/>
      <c r="C131" s="632"/>
      <c r="D131" s="632"/>
      <c r="E131" s="632"/>
      <c r="F131" s="632"/>
      <c r="G131" s="632"/>
      <c r="H131" s="632"/>
      <c r="I131" s="632"/>
      <c r="J131" s="632"/>
      <c r="K131" s="632"/>
      <c r="L131" s="632"/>
      <c r="M131" s="632"/>
      <c r="N131" s="632"/>
      <c r="O131" s="632"/>
      <c r="P131" s="632"/>
      <c r="Q131" s="632"/>
      <c r="R131" s="632"/>
      <c r="S131" s="632"/>
      <c r="T131" s="632"/>
      <c r="U131" s="632"/>
      <c r="V131" s="632"/>
    </row>
    <row r="132" spans="1:22">
      <c r="A132" s="632"/>
      <c r="B132" s="632"/>
      <c r="C132" s="632"/>
      <c r="D132" s="632"/>
      <c r="E132" s="632"/>
      <c r="F132" s="632"/>
      <c r="G132" s="632"/>
      <c r="H132" s="632"/>
      <c r="I132" s="632"/>
      <c r="J132" s="632"/>
      <c r="K132" s="632"/>
      <c r="L132" s="632"/>
      <c r="M132" s="632"/>
      <c r="N132" s="632"/>
      <c r="O132" s="632"/>
      <c r="P132" s="632"/>
      <c r="Q132" s="632"/>
      <c r="R132" s="632"/>
      <c r="S132" s="632"/>
      <c r="T132" s="632"/>
      <c r="U132" s="632"/>
      <c r="V132" s="632"/>
    </row>
    <row r="133" spans="1:22">
      <c r="A133" s="632"/>
      <c r="B133" s="632"/>
      <c r="C133" s="632"/>
      <c r="D133" s="632"/>
      <c r="E133" s="632"/>
      <c r="F133" s="632"/>
      <c r="G133" s="632"/>
      <c r="H133" s="632"/>
      <c r="I133" s="632"/>
      <c r="J133" s="632"/>
      <c r="K133" s="632"/>
      <c r="L133" s="632"/>
      <c r="M133" s="632"/>
      <c r="N133" s="632"/>
      <c r="O133" s="632"/>
      <c r="P133" s="632"/>
      <c r="Q133" s="632"/>
      <c r="R133" s="632"/>
      <c r="S133" s="632"/>
      <c r="T133" s="632"/>
      <c r="U133" s="632"/>
      <c r="V133" s="632"/>
    </row>
    <row r="134" spans="1:22">
      <c r="A134" s="632"/>
      <c r="B134" s="632"/>
      <c r="C134" s="632"/>
      <c r="D134" s="632"/>
      <c r="E134" s="632"/>
      <c r="F134" s="632"/>
      <c r="G134" s="632"/>
      <c r="H134" s="632"/>
      <c r="I134" s="632"/>
      <c r="J134" s="632"/>
      <c r="K134" s="632"/>
      <c r="L134" s="632"/>
      <c r="M134" s="632"/>
      <c r="N134" s="632"/>
      <c r="O134" s="632"/>
      <c r="P134" s="632"/>
      <c r="Q134" s="632"/>
      <c r="R134" s="632"/>
      <c r="S134" s="632"/>
      <c r="T134" s="632"/>
      <c r="U134" s="632"/>
      <c r="V134" s="632"/>
    </row>
    <row r="135" spans="1:22">
      <c r="A135" s="632"/>
      <c r="B135" s="632"/>
      <c r="C135" s="632"/>
      <c r="D135" s="632"/>
      <c r="E135" s="632"/>
      <c r="F135" s="632"/>
      <c r="G135" s="632"/>
      <c r="H135" s="632"/>
      <c r="I135" s="632"/>
      <c r="J135" s="632"/>
      <c r="K135" s="632"/>
      <c r="L135" s="632"/>
      <c r="M135" s="632"/>
      <c r="N135" s="632"/>
      <c r="O135" s="632"/>
      <c r="P135" s="632"/>
      <c r="Q135" s="632"/>
      <c r="R135" s="632"/>
      <c r="S135" s="632"/>
      <c r="T135" s="632"/>
      <c r="U135" s="632"/>
      <c r="V135" s="632"/>
    </row>
    <row r="136" spans="1:22">
      <c r="A136" s="632"/>
      <c r="B136" s="632"/>
      <c r="C136" s="632"/>
      <c r="D136" s="632"/>
      <c r="E136" s="632"/>
      <c r="F136" s="632"/>
      <c r="G136" s="632"/>
      <c r="H136" s="632"/>
      <c r="I136" s="632"/>
      <c r="J136" s="632"/>
      <c r="K136" s="632"/>
      <c r="L136" s="632"/>
      <c r="M136" s="632"/>
      <c r="N136" s="632"/>
      <c r="O136" s="632"/>
      <c r="P136" s="632"/>
      <c r="Q136" s="632"/>
      <c r="R136" s="632"/>
      <c r="S136" s="632"/>
      <c r="T136" s="632"/>
      <c r="U136" s="632"/>
      <c r="V136" s="632"/>
    </row>
    <row r="137" spans="1:22">
      <c r="A137" s="632"/>
      <c r="B137" s="632"/>
      <c r="C137" s="632"/>
      <c r="D137" s="632"/>
      <c r="E137" s="632"/>
      <c r="F137" s="632"/>
      <c r="G137" s="632"/>
      <c r="H137" s="632"/>
      <c r="I137" s="632"/>
      <c r="J137" s="632"/>
      <c r="K137" s="632"/>
      <c r="L137" s="632"/>
      <c r="M137" s="632"/>
      <c r="N137" s="632"/>
      <c r="O137" s="632"/>
      <c r="P137" s="632"/>
      <c r="Q137" s="632"/>
      <c r="R137" s="632"/>
      <c r="S137" s="632"/>
      <c r="T137" s="632"/>
      <c r="U137" s="632"/>
      <c r="V137" s="632"/>
    </row>
    <row r="138" spans="1:22">
      <c r="A138" s="632"/>
      <c r="B138" s="632"/>
      <c r="C138" s="632"/>
      <c r="D138" s="632"/>
      <c r="E138" s="632"/>
      <c r="F138" s="632"/>
      <c r="G138" s="632"/>
      <c r="H138" s="632"/>
      <c r="I138" s="632"/>
      <c r="J138" s="632"/>
      <c r="K138" s="632"/>
      <c r="L138" s="632"/>
      <c r="M138" s="632"/>
      <c r="N138" s="632"/>
      <c r="O138" s="632"/>
      <c r="P138" s="632"/>
      <c r="Q138" s="632"/>
      <c r="R138" s="632"/>
      <c r="S138" s="632"/>
      <c r="T138" s="632"/>
      <c r="U138" s="632"/>
      <c r="V138" s="632"/>
    </row>
    <row r="139" spans="1:22">
      <c r="A139" s="632"/>
      <c r="B139" s="632"/>
      <c r="C139" s="632"/>
      <c r="D139" s="632"/>
      <c r="E139" s="632"/>
      <c r="F139" s="632"/>
      <c r="G139" s="632"/>
      <c r="H139" s="632"/>
      <c r="I139" s="632"/>
      <c r="J139" s="632"/>
      <c r="K139" s="632"/>
      <c r="L139" s="632"/>
      <c r="M139" s="632"/>
      <c r="N139" s="632"/>
      <c r="O139" s="632"/>
      <c r="P139" s="632"/>
      <c r="Q139" s="632"/>
      <c r="R139" s="632"/>
      <c r="S139" s="632"/>
      <c r="T139" s="632"/>
      <c r="U139" s="632"/>
      <c r="V139" s="632"/>
    </row>
    <row r="140" spans="1:22">
      <c r="A140" s="632"/>
      <c r="B140" s="632"/>
      <c r="C140" s="632"/>
      <c r="D140" s="632"/>
      <c r="E140" s="632"/>
      <c r="F140" s="632"/>
      <c r="G140" s="632"/>
      <c r="H140" s="632"/>
      <c r="I140" s="632"/>
      <c r="J140" s="632"/>
      <c r="K140" s="632"/>
      <c r="L140" s="632"/>
      <c r="M140" s="632"/>
      <c r="N140" s="632"/>
      <c r="O140" s="632"/>
      <c r="P140" s="632"/>
      <c r="Q140" s="632"/>
      <c r="R140" s="632"/>
      <c r="S140" s="632"/>
      <c r="T140" s="632"/>
      <c r="U140" s="632"/>
      <c r="V140" s="632"/>
    </row>
    <row r="141" spans="1:22">
      <c r="A141" s="632"/>
      <c r="B141" s="632"/>
      <c r="C141" s="632"/>
      <c r="D141" s="632"/>
      <c r="E141" s="632"/>
      <c r="F141" s="632"/>
      <c r="G141" s="632"/>
      <c r="H141" s="632"/>
      <c r="I141" s="632"/>
      <c r="J141" s="632"/>
      <c r="K141" s="632"/>
      <c r="L141" s="632"/>
      <c r="M141" s="632"/>
      <c r="N141" s="632"/>
      <c r="O141" s="632"/>
      <c r="P141" s="632"/>
      <c r="Q141" s="632"/>
      <c r="R141" s="632"/>
      <c r="S141" s="632"/>
      <c r="T141" s="632"/>
      <c r="U141" s="632"/>
      <c r="V141" s="632"/>
    </row>
    <row r="142" spans="1:22">
      <c r="A142" s="632"/>
      <c r="B142" s="632"/>
      <c r="C142" s="632"/>
      <c r="D142" s="632"/>
      <c r="E142" s="632"/>
      <c r="F142" s="632"/>
      <c r="G142" s="632"/>
      <c r="H142" s="632"/>
      <c r="I142" s="632"/>
      <c r="J142" s="632"/>
      <c r="K142" s="632"/>
      <c r="L142" s="632"/>
      <c r="M142" s="632"/>
      <c r="N142" s="632"/>
      <c r="O142" s="632"/>
      <c r="P142" s="632"/>
      <c r="Q142" s="632"/>
      <c r="R142" s="632"/>
      <c r="S142" s="632"/>
      <c r="T142" s="632"/>
      <c r="U142" s="632"/>
      <c r="V142" s="632"/>
    </row>
    <row r="143" spans="1:22">
      <c r="A143" s="632"/>
      <c r="B143" s="632"/>
      <c r="C143" s="632"/>
      <c r="D143" s="632"/>
      <c r="E143" s="632"/>
      <c r="F143" s="632"/>
      <c r="G143" s="632"/>
      <c r="H143" s="632"/>
      <c r="I143" s="632"/>
      <c r="J143" s="632"/>
      <c r="K143" s="632"/>
      <c r="L143" s="632"/>
      <c r="M143" s="632"/>
      <c r="N143" s="632"/>
      <c r="O143" s="632"/>
      <c r="P143" s="632"/>
      <c r="Q143" s="632"/>
      <c r="R143" s="632"/>
      <c r="S143" s="632"/>
      <c r="T143" s="632"/>
      <c r="U143" s="632"/>
      <c r="V143" s="632"/>
    </row>
    <row r="144" spans="1:22">
      <c r="A144" s="632"/>
      <c r="B144" s="632"/>
      <c r="C144" s="632"/>
      <c r="D144" s="632"/>
      <c r="E144" s="632"/>
      <c r="F144" s="632"/>
      <c r="G144" s="632"/>
      <c r="H144" s="632"/>
      <c r="I144" s="632"/>
      <c r="J144" s="632"/>
      <c r="K144" s="632"/>
      <c r="L144" s="632"/>
      <c r="M144" s="632"/>
      <c r="N144" s="632"/>
      <c r="O144" s="632"/>
      <c r="P144" s="632"/>
      <c r="Q144" s="632"/>
      <c r="R144" s="632"/>
      <c r="S144" s="632"/>
      <c r="T144" s="632"/>
      <c r="U144" s="632"/>
      <c r="V144" s="632"/>
    </row>
    <row r="145" spans="1:22">
      <c r="A145" s="632"/>
      <c r="B145" s="632"/>
      <c r="C145" s="632"/>
      <c r="D145" s="632"/>
      <c r="E145" s="632"/>
      <c r="F145" s="632"/>
      <c r="G145" s="632"/>
      <c r="H145" s="632"/>
      <c r="I145" s="632"/>
      <c r="J145" s="632"/>
      <c r="K145" s="632"/>
      <c r="L145" s="632"/>
      <c r="M145" s="632"/>
      <c r="N145" s="632"/>
      <c r="O145" s="632"/>
      <c r="P145" s="632"/>
      <c r="Q145" s="632"/>
      <c r="R145" s="632"/>
      <c r="S145" s="632"/>
      <c r="T145" s="632"/>
      <c r="U145" s="632"/>
      <c r="V145" s="632"/>
    </row>
    <row r="146" spans="1:22">
      <c r="A146" s="632"/>
      <c r="B146" s="632"/>
      <c r="C146" s="632"/>
      <c r="D146" s="632"/>
      <c r="E146" s="632"/>
      <c r="F146" s="632"/>
      <c r="G146" s="632"/>
      <c r="H146" s="632"/>
      <c r="I146" s="632"/>
      <c r="J146" s="632"/>
      <c r="K146" s="632"/>
      <c r="L146" s="632"/>
      <c r="M146" s="632"/>
      <c r="N146" s="632"/>
      <c r="O146" s="632"/>
      <c r="P146" s="632"/>
      <c r="Q146" s="632"/>
      <c r="R146" s="632"/>
      <c r="S146" s="632"/>
      <c r="T146" s="632"/>
      <c r="U146" s="632"/>
      <c r="V146" s="632"/>
    </row>
    <row r="147" spans="1:22">
      <c r="A147" s="632"/>
      <c r="B147" s="632"/>
      <c r="C147" s="632"/>
      <c r="D147" s="632"/>
      <c r="E147" s="632"/>
      <c r="F147" s="632"/>
      <c r="G147" s="632"/>
      <c r="H147" s="632"/>
      <c r="I147" s="632"/>
      <c r="J147" s="632"/>
      <c r="K147" s="632"/>
      <c r="L147" s="632"/>
      <c r="M147" s="632"/>
      <c r="N147" s="632"/>
      <c r="O147" s="632"/>
      <c r="P147" s="632"/>
      <c r="Q147" s="632"/>
      <c r="R147" s="632"/>
      <c r="S147" s="632"/>
      <c r="T147" s="632"/>
      <c r="U147" s="632"/>
      <c r="V147" s="632"/>
    </row>
    <row r="148" spans="1:22">
      <c r="A148" s="632"/>
      <c r="B148" s="632"/>
      <c r="C148" s="632"/>
      <c r="D148" s="632"/>
      <c r="E148" s="632"/>
      <c r="F148" s="632"/>
      <c r="G148" s="632"/>
      <c r="H148" s="632"/>
      <c r="I148" s="632"/>
      <c r="J148" s="632"/>
      <c r="K148" s="632"/>
      <c r="L148" s="632"/>
      <c r="M148" s="632"/>
      <c r="N148" s="632"/>
      <c r="O148" s="632"/>
      <c r="P148" s="632"/>
      <c r="Q148" s="632"/>
      <c r="R148" s="632"/>
      <c r="S148" s="632"/>
      <c r="T148" s="632"/>
      <c r="U148" s="632"/>
      <c r="V148" s="632"/>
    </row>
    <row r="149" spans="1:22">
      <c r="A149" s="632"/>
      <c r="B149" s="632"/>
      <c r="C149" s="632"/>
      <c r="D149" s="632"/>
      <c r="E149" s="632"/>
      <c r="F149" s="632"/>
      <c r="G149" s="632"/>
      <c r="H149" s="632"/>
      <c r="I149" s="632"/>
      <c r="J149" s="632"/>
      <c r="K149" s="632"/>
      <c r="L149" s="632"/>
      <c r="M149" s="632"/>
      <c r="N149" s="632"/>
      <c r="O149" s="632"/>
      <c r="P149" s="632"/>
      <c r="Q149" s="632"/>
      <c r="R149" s="632"/>
      <c r="S149" s="632"/>
      <c r="T149" s="632"/>
      <c r="U149" s="632"/>
      <c r="V149" s="632"/>
    </row>
    <row r="150" spans="1:22">
      <c r="A150" s="632"/>
      <c r="B150" s="632"/>
      <c r="C150" s="632"/>
      <c r="D150" s="632"/>
      <c r="E150" s="632"/>
      <c r="F150" s="632"/>
      <c r="G150" s="632"/>
      <c r="H150" s="632"/>
      <c r="I150" s="632"/>
      <c r="J150" s="632"/>
      <c r="K150" s="632"/>
      <c r="L150" s="632"/>
      <c r="M150" s="632"/>
      <c r="N150" s="632"/>
      <c r="O150" s="632"/>
      <c r="P150" s="632"/>
      <c r="Q150" s="632"/>
      <c r="R150" s="632"/>
      <c r="S150" s="632"/>
      <c r="T150" s="632"/>
      <c r="U150" s="632"/>
      <c r="V150" s="632"/>
    </row>
  </sheetData>
  <sheetProtection algorithmName="SHA-512" hashValue="nMa9wWLGcRBaFNnd/N24njLKZYGI4zSP2UDoDcs+BZ29uMf3EpBO1lUVTHRXnKVB2jMDyyfma/zgVfmTR/g/CQ==" saltValue="brnyOxL0LdJBVkOl7K9LXA==" spinCount="100000" sheet="1" formatCells="0" formatColumns="0" formatRows="0" insertColumns="0" insertRows="0" insertHyperlinks="0" deleteColumns="0" deleteRows="0" sort="0" autoFilter="0" pivotTables="0"/>
  <mergeCells count="12">
    <mergeCell ref="B1:J1"/>
    <mergeCell ref="B9:C9"/>
    <mergeCell ref="B2:C2"/>
    <mergeCell ref="C11:D11"/>
    <mergeCell ref="B24:D24"/>
    <mergeCell ref="C15:D15"/>
    <mergeCell ref="C16:D16"/>
    <mergeCell ref="C17:D17"/>
    <mergeCell ref="C18:D18"/>
    <mergeCell ref="B21:D21"/>
    <mergeCell ref="B22:D22"/>
    <mergeCell ref="B23:D23"/>
  </mergeCells>
  <hyperlinks>
    <hyperlink ref="E22" location="'جدول محاسبه حق شغل'!A1" display="ورود"/>
    <hyperlink ref="E23" location="'کاربرگ ورود اطلاعات'!A1" display="ورود"/>
    <hyperlink ref="E24" location="'کاربرگ قرارداد'!A1" display="ورود"/>
    <hyperlink ref="E21" location="'جدول محاسبات'!A1" display="ورود"/>
  </hyperlink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R143"/>
  <sheetViews>
    <sheetView rightToLeft="1" zoomScaleNormal="100" workbookViewId="0"/>
  </sheetViews>
  <sheetFormatPr defaultRowHeight="14.25"/>
  <cols>
    <col min="1" max="1" width="5.875" style="631" customWidth="1"/>
    <col min="2" max="2" width="14.75" style="631" customWidth="1"/>
    <col min="3" max="3" width="7.625" style="631" customWidth="1"/>
    <col min="4" max="4" width="8.375" style="631" customWidth="1"/>
    <col min="5" max="5" width="10.625" style="631" customWidth="1"/>
    <col min="6" max="6" width="14.625" style="631" customWidth="1"/>
    <col min="7" max="7" width="10.625" style="631" customWidth="1"/>
    <col min="8" max="8" width="14.625" style="631" customWidth="1"/>
    <col min="9" max="9" width="10.625" style="631" customWidth="1"/>
    <col min="10" max="10" width="14.625" style="631" customWidth="1"/>
    <col min="11" max="16384" width="9" style="631"/>
  </cols>
  <sheetData>
    <row r="1" spans="1:18" ht="36.75" customHeight="1" thickBot="1">
      <c r="A1" s="630"/>
      <c r="B1" s="717" t="s">
        <v>538</v>
      </c>
      <c r="C1" s="717"/>
      <c r="D1" s="717"/>
      <c r="E1" s="717"/>
      <c r="F1" s="717"/>
      <c r="G1" s="717"/>
      <c r="H1" s="717"/>
      <c r="I1" s="717"/>
      <c r="J1" s="717"/>
      <c r="K1" s="630"/>
      <c r="L1" s="630"/>
      <c r="M1" s="630"/>
      <c r="N1" s="630"/>
      <c r="O1" s="630"/>
      <c r="P1" s="630"/>
      <c r="Q1" s="630"/>
      <c r="R1" s="630"/>
    </row>
    <row r="2" spans="1:18" ht="29.25" customHeight="1">
      <c r="A2" s="630"/>
      <c r="B2" s="721" t="s">
        <v>539</v>
      </c>
      <c r="C2" s="722"/>
      <c r="D2" s="722"/>
      <c r="E2" s="718" t="s">
        <v>540</v>
      </c>
      <c r="F2" s="718"/>
      <c r="G2" s="718" t="s">
        <v>541</v>
      </c>
      <c r="H2" s="718"/>
      <c r="I2" s="718" t="s">
        <v>542</v>
      </c>
      <c r="J2" s="719"/>
      <c r="K2" s="630"/>
      <c r="L2" s="630"/>
      <c r="M2" s="630"/>
      <c r="N2" s="630"/>
      <c r="O2" s="630"/>
      <c r="P2" s="630"/>
      <c r="Q2" s="630"/>
      <c r="R2" s="630"/>
    </row>
    <row r="3" spans="1:18" ht="26.25" customHeight="1" thickBot="1">
      <c r="A3" s="630"/>
      <c r="B3" s="723"/>
      <c r="C3" s="724"/>
      <c r="D3" s="724"/>
      <c r="E3" s="622" t="s">
        <v>1</v>
      </c>
      <c r="F3" s="622" t="s">
        <v>37</v>
      </c>
      <c r="G3" s="622" t="s">
        <v>1</v>
      </c>
      <c r="H3" s="622" t="s">
        <v>37</v>
      </c>
      <c r="I3" s="622" t="s">
        <v>1</v>
      </c>
      <c r="J3" s="609" t="s">
        <v>37</v>
      </c>
      <c r="K3" s="630"/>
      <c r="L3" s="630"/>
      <c r="M3" s="630"/>
      <c r="N3" s="630"/>
      <c r="O3" s="630"/>
      <c r="P3" s="630"/>
      <c r="Q3" s="630"/>
      <c r="R3" s="630"/>
    </row>
    <row r="4" spans="1:18" ht="24" customHeight="1">
      <c r="A4" s="630"/>
      <c r="B4" s="725" t="s">
        <v>358</v>
      </c>
      <c r="C4" s="726" t="s">
        <v>6</v>
      </c>
      <c r="D4" s="726"/>
      <c r="E4" s="598">
        <f>'جدول محاسبه حق شغل'!H14</f>
        <v>5000</v>
      </c>
      <c r="F4" s="607">
        <f>E4*2120</f>
        <v>10600000</v>
      </c>
      <c r="G4" s="590">
        <f>E4*'کاربرگ ورود اطلاعات'!F19%</f>
        <v>0</v>
      </c>
      <c r="H4" s="608">
        <f>G4*2120</f>
        <v>0</v>
      </c>
      <c r="I4" s="590">
        <f>(G4+E4)*80%</f>
        <v>4000</v>
      </c>
      <c r="J4" s="591">
        <f>I4*2120</f>
        <v>8480000</v>
      </c>
      <c r="K4" s="630"/>
      <c r="L4" s="630"/>
      <c r="M4" s="630"/>
      <c r="N4" s="630"/>
      <c r="O4" s="630"/>
      <c r="P4" s="630"/>
      <c r="Q4" s="630"/>
      <c r="R4" s="630"/>
    </row>
    <row r="5" spans="1:18" ht="24" customHeight="1">
      <c r="A5" s="630"/>
      <c r="B5" s="715"/>
      <c r="C5" s="716" t="s">
        <v>8</v>
      </c>
      <c r="D5" s="716"/>
      <c r="E5" s="593">
        <f>'جدول محاسبه حق شاغل'!E18</f>
        <v>3270</v>
      </c>
      <c r="F5" s="596">
        <f>E5*2120</f>
        <v>6932400</v>
      </c>
      <c r="G5" s="355">
        <f>E5*'کاربرگ ورود اطلاعات'!F19%</f>
        <v>0</v>
      </c>
      <c r="H5" s="597">
        <f>G5*2120</f>
        <v>0</v>
      </c>
      <c r="I5" s="355">
        <f>(G5+E5)*80%</f>
        <v>2616</v>
      </c>
      <c r="J5" s="356">
        <f>I5*2120</f>
        <v>5545920</v>
      </c>
      <c r="K5" s="630"/>
      <c r="L5" s="630"/>
      <c r="M5" s="630"/>
      <c r="N5" s="630"/>
      <c r="O5" s="630"/>
      <c r="P5" s="630"/>
      <c r="Q5" s="630"/>
      <c r="R5" s="630"/>
    </row>
    <row r="6" spans="1:18" ht="24" customHeight="1">
      <c r="A6" s="630"/>
      <c r="B6" s="715"/>
      <c r="C6" s="716" t="s">
        <v>7</v>
      </c>
      <c r="D6" s="716"/>
      <c r="E6" s="593">
        <f>Sheet1!I165</f>
        <v>0</v>
      </c>
      <c r="F6" s="596">
        <f>E6*2120</f>
        <v>0</v>
      </c>
      <c r="G6" s="593">
        <f>E6*'کاربرگ ورود اطلاعات'!F19%</f>
        <v>0</v>
      </c>
      <c r="H6" s="597">
        <f>G6*2120</f>
        <v>0</v>
      </c>
      <c r="I6" s="593">
        <f>(G6+E6)*80%</f>
        <v>0</v>
      </c>
      <c r="J6" s="356">
        <f>I6*2120</f>
        <v>0</v>
      </c>
      <c r="K6" s="630"/>
      <c r="L6" s="630"/>
      <c r="M6" s="630"/>
      <c r="N6" s="630"/>
      <c r="O6" s="630"/>
      <c r="P6" s="630"/>
      <c r="Q6" s="630"/>
      <c r="R6" s="630"/>
    </row>
    <row r="7" spans="1:18" ht="24" customHeight="1">
      <c r="A7" s="630"/>
      <c r="B7" s="715"/>
      <c r="C7" s="720" t="s">
        <v>9</v>
      </c>
      <c r="D7" s="720"/>
      <c r="E7" s="357">
        <f t="shared" ref="E7:J7" si="0">SUM(E4:E6)</f>
        <v>8270</v>
      </c>
      <c r="F7" s="604">
        <f t="shared" si="0"/>
        <v>17532400</v>
      </c>
      <c r="G7" s="357">
        <f t="shared" si="0"/>
        <v>0</v>
      </c>
      <c r="H7" s="604">
        <f t="shared" si="0"/>
        <v>0</v>
      </c>
      <c r="I7" s="357">
        <f t="shared" si="0"/>
        <v>6616</v>
      </c>
      <c r="J7" s="358">
        <f t="shared" si="0"/>
        <v>14025920</v>
      </c>
      <c r="K7" s="630"/>
      <c r="L7" s="630"/>
      <c r="M7" s="630"/>
      <c r="N7" s="630"/>
      <c r="O7" s="630"/>
      <c r="P7" s="630"/>
      <c r="Q7" s="630"/>
      <c r="R7" s="630"/>
    </row>
    <row r="8" spans="1:18" ht="24" customHeight="1">
      <c r="A8" s="630"/>
      <c r="B8" s="715" t="s">
        <v>416</v>
      </c>
      <c r="C8" s="716"/>
      <c r="D8" s="716"/>
      <c r="E8" s="593">
        <f>محاسبات!C22</f>
        <v>1500</v>
      </c>
      <c r="F8" s="596">
        <f>E8*2120</f>
        <v>3180000</v>
      </c>
      <c r="G8" s="593">
        <f>E8*'کاربرگ ورود اطلاعات'!F19%</f>
        <v>0</v>
      </c>
      <c r="H8" s="596">
        <f>G8*2120</f>
        <v>0</v>
      </c>
      <c r="I8" s="593">
        <f>(G8+E8)*80%</f>
        <v>1200</v>
      </c>
      <c r="J8" s="592">
        <f>I8*2120</f>
        <v>2544000</v>
      </c>
      <c r="K8" s="630"/>
      <c r="L8" s="630"/>
      <c r="M8" s="630"/>
      <c r="N8" s="630"/>
      <c r="O8" s="630"/>
      <c r="P8" s="630"/>
      <c r="Q8" s="630"/>
      <c r="R8" s="630"/>
    </row>
    <row r="9" spans="1:18" ht="24" customHeight="1">
      <c r="A9" s="630"/>
      <c r="B9" s="715" t="s">
        <v>417</v>
      </c>
      <c r="C9" s="716"/>
      <c r="D9" s="716"/>
      <c r="E9" s="593"/>
      <c r="F9" s="596">
        <f>SUM(F4,F5,F6,F8,F12,F13,F14,F15)*'کاربرگ ورود اطلاعات'!I11%</f>
        <v>0</v>
      </c>
      <c r="G9" s="593"/>
      <c r="H9" s="596">
        <f>SUM(H4,H5,H6,H8,H11,H12,H13,H14,H15)*'کاربرگ ورود اطلاعات'!I11%</f>
        <v>0</v>
      </c>
      <c r="I9" s="593"/>
      <c r="J9" s="592">
        <f>SUM(J4,J5,J6,J8,J12,J13,J14,J15)*'کاربرگ ورود اطلاعات'!I11%</f>
        <v>0</v>
      </c>
      <c r="K9" s="630"/>
      <c r="L9" s="630"/>
      <c r="M9" s="630"/>
      <c r="N9" s="630"/>
      <c r="O9" s="630"/>
      <c r="P9" s="630"/>
      <c r="Q9" s="630"/>
      <c r="R9" s="630"/>
    </row>
    <row r="10" spans="1:18" ht="24" customHeight="1">
      <c r="A10" s="630"/>
      <c r="B10" s="715" t="s">
        <v>418</v>
      </c>
      <c r="C10" s="716"/>
      <c r="D10" s="716"/>
      <c r="E10" s="593"/>
      <c r="F10" s="596">
        <f>F7*Sheet1!G113%</f>
        <v>0</v>
      </c>
      <c r="G10" s="593"/>
      <c r="H10" s="596">
        <f>H7*Sheet1!G113%</f>
        <v>0</v>
      </c>
      <c r="I10" s="593"/>
      <c r="J10" s="592">
        <f>J7*Sheet1!G113%</f>
        <v>0</v>
      </c>
      <c r="K10" s="630"/>
      <c r="L10" s="630"/>
      <c r="M10" s="630"/>
      <c r="N10" s="630"/>
      <c r="O10" s="630"/>
      <c r="P10" s="630"/>
      <c r="Q10" s="630"/>
      <c r="R10" s="630"/>
    </row>
    <row r="11" spans="1:18" ht="24" customHeight="1">
      <c r="A11" s="630"/>
      <c r="B11" s="715" t="s">
        <v>419</v>
      </c>
      <c r="C11" s="716"/>
      <c r="D11" s="716"/>
      <c r="E11" s="593"/>
      <c r="F11" s="596">
        <f>F7*Sheet1!M113%</f>
        <v>0</v>
      </c>
      <c r="G11" s="593"/>
      <c r="H11" s="596">
        <f>H7*Sheet1!M113%</f>
        <v>0</v>
      </c>
      <c r="I11" s="593"/>
      <c r="J11" s="592">
        <f>J7*Sheet1!M113%</f>
        <v>0</v>
      </c>
      <c r="K11" s="630"/>
      <c r="L11" s="630"/>
      <c r="M11" s="630"/>
      <c r="N11" s="630"/>
      <c r="O11" s="630"/>
      <c r="P11" s="630"/>
      <c r="Q11" s="630"/>
      <c r="R11" s="630"/>
    </row>
    <row r="12" spans="1:18" ht="24" customHeight="1">
      <c r="A12" s="630"/>
      <c r="B12" s="715" t="s">
        <v>420</v>
      </c>
      <c r="C12" s="716"/>
      <c r="D12" s="716"/>
      <c r="E12" s="593">
        <f>محاسبات!F128</f>
        <v>0</v>
      </c>
      <c r="F12" s="596">
        <f t="shared" ref="F12:F17" si="1">E12*2120</f>
        <v>0</v>
      </c>
      <c r="G12" s="593">
        <f>E12*'کاربرگ ورود اطلاعات'!F19%</f>
        <v>0</v>
      </c>
      <c r="H12" s="596">
        <f t="shared" ref="H12:H17" si="2">G12*2120</f>
        <v>0</v>
      </c>
      <c r="I12" s="593">
        <f>(G12+E12)*80%</f>
        <v>0</v>
      </c>
      <c r="J12" s="592">
        <f t="shared" ref="J12:J17" si="3">I12*2120</f>
        <v>0</v>
      </c>
      <c r="K12" s="630"/>
      <c r="L12" s="630"/>
      <c r="M12" s="630"/>
      <c r="N12" s="630"/>
      <c r="O12" s="630"/>
      <c r="P12" s="630"/>
      <c r="Q12" s="630"/>
      <c r="R12" s="630"/>
    </row>
    <row r="13" spans="1:18" ht="24" customHeight="1">
      <c r="A13" s="630"/>
      <c r="B13" s="715" t="s">
        <v>421</v>
      </c>
      <c r="C13" s="716"/>
      <c r="D13" s="716"/>
      <c r="E13" s="593">
        <f>محاسبات!F17</f>
        <v>0</v>
      </c>
      <c r="F13" s="596">
        <f>E13*2120</f>
        <v>0</v>
      </c>
      <c r="G13" s="593">
        <f>E13*'کاربرگ ورود اطلاعات'!F19%</f>
        <v>0</v>
      </c>
      <c r="H13" s="596">
        <f t="shared" si="2"/>
        <v>0</v>
      </c>
      <c r="I13" s="593">
        <f>(G13+E13)*80%</f>
        <v>0</v>
      </c>
      <c r="J13" s="592">
        <f>I13*2120</f>
        <v>0</v>
      </c>
      <c r="K13" s="630"/>
      <c r="L13" s="630"/>
      <c r="M13" s="630"/>
      <c r="N13" s="630"/>
      <c r="O13" s="630"/>
      <c r="P13" s="630"/>
      <c r="Q13" s="630"/>
      <c r="R13" s="630"/>
    </row>
    <row r="14" spans="1:18" ht="24" customHeight="1">
      <c r="A14" s="630"/>
      <c r="B14" s="715" t="s">
        <v>422</v>
      </c>
      <c r="C14" s="716"/>
      <c r="D14" s="716"/>
      <c r="E14" s="593">
        <f>'حکم کارگزینی'!F28</f>
        <v>0</v>
      </c>
      <c r="F14" s="596">
        <f t="shared" si="1"/>
        <v>0</v>
      </c>
      <c r="G14" s="593">
        <f>E14*'کاربرگ ورود اطلاعات'!F19%</f>
        <v>0</v>
      </c>
      <c r="H14" s="596">
        <f t="shared" si="2"/>
        <v>0</v>
      </c>
      <c r="I14" s="593">
        <f>(G14+E14)*80%</f>
        <v>0</v>
      </c>
      <c r="J14" s="592">
        <f t="shared" si="3"/>
        <v>0</v>
      </c>
      <c r="K14" s="630"/>
      <c r="L14" s="630"/>
      <c r="M14" s="630"/>
      <c r="N14" s="630"/>
      <c r="O14" s="630"/>
      <c r="P14" s="630"/>
      <c r="Q14" s="630"/>
      <c r="R14" s="630"/>
    </row>
    <row r="15" spans="1:18" ht="24" customHeight="1">
      <c r="A15" s="630"/>
      <c r="B15" s="715" t="s">
        <v>423</v>
      </c>
      <c r="C15" s="716"/>
      <c r="D15" s="716"/>
      <c r="E15" s="593">
        <f>'کاربرگ ورود اطلاعات'!I10</f>
        <v>0</v>
      </c>
      <c r="F15" s="596">
        <f t="shared" si="1"/>
        <v>0</v>
      </c>
      <c r="G15" s="593">
        <f>E15*'کاربرگ ورود اطلاعات'!F19%</f>
        <v>0</v>
      </c>
      <c r="H15" s="596">
        <f t="shared" si="2"/>
        <v>0</v>
      </c>
      <c r="I15" s="593">
        <f>(G15+E15)*80%</f>
        <v>0</v>
      </c>
      <c r="J15" s="592">
        <f t="shared" si="3"/>
        <v>0</v>
      </c>
      <c r="K15" s="630"/>
      <c r="L15" s="630"/>
      <c r="M15" s="630"/>
      <c r="N15" s="630"/>
      <c r="O15" s="630"/>
      <c r="P15" s="630"/>
      <c r="Q15" s="630"/>
      <c r="R15" s="630"/>
    </row>
    <row r="16" spans="1:18" ht="24" customHeight="1">
      <c r="A16" s="630"/>
      <c r="B16" s="715" t="s">
        <v>424</v>
      </c>
      <c r="C16" s="716"/>
      <c r="D16" s="716"/>
      <c r="E16" s="593">
        <f>'حکم کارگزینی'!F30</f>
        <v>0</v>
      </c>
      <c r="F16" s="596">
        <f t="shared" si="1"/>
        <v>0</v>
      </c>
      <c r="G16" s="593">
        <f>E16*'کاربرگ ورود اطلاعات'!F19%</f>
        <v>0</v>
      </c>
      <c r="H16" s="596">
        <f t="shared" si="2"/>
        <v>0</v>
      </c>
      <c r="I16" s="593">
        <f>G16+E16</f>
        <v>0</v>
      </c>
      <c r="J16" s="592">
        <f t="shared" si="3"/>
        <v>0</v>
      </c>
      <c r="K16" s="630"/>
      <c r="L16" s="630"/>
      <c r="M16" s="630"/>
      <c r="N16" s="630"/>
      <c r="O16" s="630"/>
      <c r="P16" s="630"/>
      <c r="Q16" s="630"/>
      <c r="R16" s="630"/>
    </row>
    <row r="17" spans="1:18" ht="24" customHeight="1">
      <c r="A17" s="630"/>
      <c r="B17" s="715" t="s">
        <v>425</v>
      </c>
      <c r="C17" s="716"/>
      <c r="D17" s="716"/>
      <c r="E17" s="593">
        <f>'حکم کارگزینی'!F31</f>
        <v>0</v>
      </c>
      <c r="F17" s="596">
        <f t="shared" si="1"/>
        <v>0</v>
      </c>
      <c r="G17" s="593">
        <f>E17*'کاربرگ ورود اطلاعات'!F19%</f>
        <v>0</v>
      </c>
      <c r="H17" s="596">
        <f t="shared" si="2"/>
        <v>0</v>
      </c>
      <c r="I17" s="593">
        <f>G17+E17</f>
        <v>0</v>
      </c>
      <c r="J17" s="592">
        <f t="shared" si="3"/>
        <v>0</v>
      </c>
      <c r="K17" s="630"/>
      <c r="L17" s="630"/>
      <c r="M17" s="630"/>
      <c r="N17" s="630"/>
      <c r="O17" s="630"/>
      <c r="P17" s="630"/>
      <c r="Q17" s="630"/>
      <c r="R17" s="630"/>
    </row>
    <row r="18" spans="1:18" ht="24" customHeight="1">
      <c r="A18" s="630"/>
      <c r="B18" s="715" t="s">
        <v>426</v>
      </c>
      <c r="C18" s="716"/>
      <c r="D18" s="716"/>
      <c r="E18" s="593"/>
      <c r="F18" s="596">
        <f>F4*'کاربرگ ورود اطلاعات'!I18%</f>
        <v>0</v>
      </c>
      <c r="G18" s="593"/>
      <c r="H18" s="596">
        <f>H4*'کاربرگ ورود اطلاعات'!I18%</f>
        <v>0</v>
      </c>
      <c r="I18" s="593"/>
      <c r="J18" s="592">
        <f>J4*'کاربرگ ورود اطلاعات'!I18%</f>
        <v>0</v>
      </c>
      <c r="K18" s="630"/>
      <c r="L18" s="630"/>
      <c r="M18" s="630"/>
      <c r="N18" s="630"/>
      <c r="O18" s="630"/>
      <c r="P18" s="630"/>
      <c r="Q18" s="630"/>
      <c r="R18" s="630"/>
    </row>
    <row r="19" spans="1:18" ht="24" customHeight="1" thickBot="1">
      <c r="A19" s="630"/>
      <c r="B19" s="711" t="s">
        <v>427</v>
      </c>
      <c r="C19" s="712"/>
      <c r="D19" s="712"/>
      <c r="E19" s="595"/>
      <c r="F19" s="610"/>
      <c r="G19" s="595"/>
      <c r="H19" s="610"/>
      <c r="I19" s="595"/>
      <c r="J19" s="594">
        <f>'کاربرگ قرارداد'!H32</f>
        <v>0</v>
      </c>
      <c r="K19" s="630"/>
      <c r="L19" s="630"/>
      <c r="M19" s="630"/>
      <c r="N19" s="630"/>
      <c r="O19" s="630"/>
      <c r="P19" s="630"/>
      <c r="Q19" s="630"/>
      <c r="R19" s="630"/>
    </row>
    <row r="20" spans="1:18" ht="27" customHeight="1" thickBot="1">
      <c r="A20" s="630"/>
      <c r="B20" s="713" t="s">
        <v>368</v>
      </c>
      <c r="C20" s="714"/>
      <c r="D20" s="714"/>
      <c r="E20" s="606">
        <f t="shared" ref="E20:J20" si="4">SUM(E7:E19)</f>
        <v>9770</v>
      </c>
      <c r="F20" s="611">
        <f t="shared" si="4"/>
        <v>20712400</v>
      </c>
      <c r="G20" s="606">
        <f t="shared" si="4"/>
        <v>0</v>
      </c>
      <c r="H20" s="611">
        <f t="shared" si="4"/>
        <v>0</v>
      </c>
      <c r="I20" s="606">
        <f t="shared" si="4"/>
        <v>7816</v>
      </c>
      <c r="J20" s="605">
        <f t="shared" si="4"/>
        <v>16569920</v>
      </c>
      <c r="K20" s="630"/>
      <c r="L20" s="630"/>
      <c r="M20" s="630"/>
      <c r="N20" s="630"/>
      <c r="O20" s="630"/>
      <c r="P20" s="630"/>
      <c r="Q20" s="630"/>
      <c r="R20" s="630"/>
    </row>
    <row r="21" spans="1:18" ht="15" thickBot="1">
      <c r="A21" s="630"/>
      <c r="B21" s="630"/>
      <c r="C21" s="630"/>
      <c r="D21" s="630"/>
      <c r="E21" s="630"/>
      <c r="F21" s="630"/>
      <c r="G21" s="630"/>
      <c r="H21" s="630"/>
      <c r="I21" s="630"/>
      <c r="J21" s="630"/>
      <c r="K21" s="630"/>
      <c r="L21" s="630"/>
      <c r="M21" s="630"/>
      <c r="N21" s="630"/>
      <c r="O21" s="630"/>
      <c r="P21" s="630"/>
      <c r="Q21" s="630"/>
      <c r="R21" s="630"/>
    </row>
    <row r="22" spans="1:18" ht="24" customHeight="1">
      <c r="A22" s="630"/>
      <c r="B22" s="709" t="s">
        <v>475</v>
      </c>
      <c r="C22" s="710"/>
      <c r="D22" s="710"/>
      <c r="E22" s="710"/>
      <c r="F22" s="545">
        <f>Sheet1!F170*3%</f>
        <v>454800</v>
      </c>
      <c r="G22" s="630"/>
      <c r="H22" s="630"/>
      <c r="I22" s="630"/>
      <c r="J22" s="630"/>
      <c r="K22" s="630"/>
      <c r="L22" s="630"/>
      <c r="M22" s="630"/>
      <c r="N22" s="630"/>
      <c r="O22" s="630"/>
      <c r="P22" s="630"/>
      <c r="Q22" s="630"/>
      <c r="R22" s="630"/>
    </row>
    <row r="23" spans="1:18" ht="24" customHeight="1">
      <c r="A23" s="630"/>
      <c r="B23" s="705" t="s">
        <v>479</v>
      </c>
      <c r="C23" s="706"/>
      <c r="D23" s="706"/>
      <c r="E23" s="706"/>
      <c r="F23" s="616">
        <f>((Sheet1!F173-Sheet1!F171)/50)+(Sheet1!F171/20)</f>
        <v>800298.4</v>
      </c>
      <c r="G23" s="630"/>
      <c r="H23" s="630"/>
      <c r="I23" s="630"/>
      <c r="J23" s="630"/>
      <c r="K23" s="630"/>
      <c r="L23" s="630"/>
      <c r="M23" s="630"/>
      <c r="N23" s="630"/>
      <c r="O23" s="630"/>
      <c r="P23" s="630"/>
    </row>
    <row r="24" spans="1:18" ht="24" customHeight="1" thickBot="1">
      <c r="A24" s="630"/>
      <c r="B24" s="695" t="s">
        <v>549</v>
      </c>
      <c r="C24" s="696"/>
      <c r="D24" s="696"/>
      <c r="E24" s="696"/>
      <c r="F24" s="617">
        <f>((F23-F22)*100)/F22</f>
        <v>75.967106420404576</v>
      </c>
      <c r="G24" s="630"/>
      <c r="H24" s="630"/>
      <c r="I24" s="630"/>
      <c r="J24" s="630"/>
      <c r="K24" s="630"/>
      <c r="L24" s="630"/>
      <c r="M24" s="630"/>
      <c r="N24" s="630"/>
      <c r="O24" s="630"/>
      <c r="P24" s="630"/>
    </row>
    <row r="25" spans="1:18" ht="24" customHeight="1" thickBot="1">
      <c r="A25" s="630"/>
      <c r="B25" s="630"/>
      <c r="C25" s="630"/>
      <c r="D25" s="630"/>
      <c r="E25" s="630"/>
      <c r="F25" s="630"/>
      <c r="G25" s="630"/>
      <c r="H25" s="630"/>
      <c r="I25" s="630"/>
      <c r="J25" s="630"/>
      <c r="K25" s="630"/>
      <c r="L25" s="630"/>
      <c r="M25" s="630"/>
      <c r="N25" s="630"/>
      <c r="O25" s="630"/>
      <c r="P25" s="630"/>
    </row>
    <row r="26" spans="1:18" ht="24" customHeight="1">
      <c r="A26" s="630"/>
      <c r="B26" s="709" t="s">
        <v>476</v>
      </c>
      <c r="C26" s="710"/>
      <c r="D26" s="710"/>
      <c r="E26" s="710"/>
      <c r="F26" s="545">
        <f>F22/2</f>
        <v>227400</v>
      </c>
      <c r="G26" s="630"/>
      <c r="H26" s="630"/>
      <c r="I26" s="630"/>
      <c r="J26" s="630"/>
      <c r="K26" s="630"/>
      <c r="L26" s="630"/>
      <c r="M26" s="630"/>
      <c r="N26" s="630"/>
      <c r="O26" s="630"/>
      <c r="P26" s="630"/>
    </row>
    <row r="27" spans="1:18" ht="24" customHeight="1">
      <c r="A27" s="630"/>
      <c r="B27" s="705" t="s">
        <v>480</v>
      </c>
      <c r="C27" s="706"/>
      <c r="D27" s="706"/>
      <c r="E27" s="706"/>
      <c r="F27" s="616">
        <f>F23/2</f>
        <v>400149.2</v>
      </c>
      <c r="G27" s="699" t="s">
        <v>552</v>
      </c>
      <c r="H27" s="699"/>
      <c r="I27" s="699"/>
      <c r="J27" s="699"/>
      <c r="K27" s="630"/>
      <c r="L27" s="630"/>
      <c r="M27" s="630"/>
      <c r="N27" s="630"/>
      <c r="O27" s="630"/>
      <c r="P27" s="630"/>
    </row>
    <row r="28" spans="1:18" ht="24" customHeight="1" thickBot="1">
      <c r="A28" s="630"/>
      <c r="B28" s="695" t="s">
        <v>550</v>
      </c>
      <c r="C28" s="696"/>
      <c r="D28" s="696"/>
      <c r="E28" s="696"/>
      <c r="F28" s="617">
        <f>((F27-F26)*100)/F26</f>
        <v>75.967106420404576</v>
      </c>
      <c r="G28" s="700" t="s">
        <v>237</v>
      </c>
      <c r="H28" s="701"/>
      <c r="I28" s="701"/>
      <c r="J28" s="701"/>
      <c r="K28" s="630"/>
      <c r="L28" s="630"/>
      <c r="M28" s="630"/>
      <c r="N28" s="630"/>
      <c r="O28" s="630"/>
      <c r="P28" s="630"/>
    </row>
    <row r="29" spans="1:18" ht="24" customHeight="1" thickBot="1">
      <c r="A29" s="630"/>
      <c r="B29" s="630"/>
      <c r="C29" s="630"/>
      <c r="D29" s="630"/>
      <c r="E29" s="612"/>
      <c r="F29" s="612"/>
      <c r="G29" s="699" t="s">
        <v>181</v>
      </c>
      <c r="H29" s="702"/>
      <c r="I29" s="702"/>
      <c r="J29" s="702"/>
      <c r="K29" s="630"/>
      <c r="L29" s="630"/>
      <c r="M29" s="630"/>
      <c r="N29" s="630"/>
      <c r="O29" s="630"/>
      <c r="P29" s="630"/>
    </row>
    <row r="30" spans="1:18" ht="24" customHeight="1">
      <c r="A30" s="630"/>
      <c r="B30" s="709" t="s">
        <v>473</v>
      </c>
      <c r="C30" s="710"/>
      <c r="D30" s="710"/>
      <c r="E30" s="710"/>
      <c r="F30" s="545">
        <f>Sheet1!F170/176</f>
        <v>86136.363636363632</v>
      </c>
      <c r="G30" s="703" t="s">
        <v>553</v>
      </c>
      <c r="H30" s="703"/>
      <c r="I30" s="703"/>
      <c r="J30" s="703"/>
      <c r="K30" s="630"/>
      <c r="L30" s="630"/>
      <c r="M30" s="630"/>
      <c r="N30" s="630"/>
      <c r="O30" s="630"/>
      <c r="P30" s="630"/>
    </row>
    <row r="31" spans="1:18" ht="24" customHeight="1">
      <c r="A31" s="630"/>
      <c r="B31" s="705" t="s">
        <v>551</v>
      </c>
      <c r="C31" s="706"/>
      <c r="D31" s="706"/>
      <c r="E31" s="706"/>
      <c r="F31" s="616">
        <f>'کاربرگ قرارداد'!H20/176</f>
        <v>79692.727272727279</v>
      </c>
      <c r="G31" s="700" t="s">
        <v>521</v>
      </c>
      <c r="H31" s="704"/>
      <c r="I31" s="704"/>
      <c r="J31" s="704"/>
      <c r="K31" s="630"/>
      <c r="L31" s="630"/>
      <c r="M31" s="630"/>
      <c r="N31" s="630"/>
      <c r="O31" s="630"/>
      <c r="P31" s="630"/>
    </row>
    <row r="32" spans="1:18" ht="24" customHeight="1" thickBot="1">
      <c r="A32" s="630"/>
      <c r="B32" s="695" t="s">
        <v>546</v>
      </c>
      <c r="C32" s="696"/>
      <c r="D32" s="696"/>
      <c r="E32" s="696"/>
      <c r="F32" s="617">
        <f>((F31-F30)*100)/F30</f>
        <v>-7.4807387862796713</v>
      </c>
      <c r="G32" s="630"/>
      <c r="H32" s="630"/>
      <c r="I32" s="630"/>
      <c r="J32" s="630"/>
      <c r="K32" s="630"/>
      <c r="L32" s="630"/>
      <c r="M32" s="630"/>
      <c r="N32" s="630"/>
      <c r="O32" s="630"/>
      <c r="P32" s="630"/>
    </row>
    <row r="33" spans="1:16" ht="24" customHeight="1" thickBot="1">
      <c r="A33" s="630"/>
      <c r="B33" s="630"/>
      <c r="C33" s="630"/>
      <c r="D33" s="630"/>
      <c r="E33" s="630"/>
      <c r="F33" s="630"/>
      <c r="G33" s="630"/>
      <c r="H33" s="659" t="s">
        <v>535</v>
      </c>
      <c r="I33" s="660"/>
      <c r="J33" s="550" t="s">
        <v>525</v>
      </c>
      <c r="K33" s="630"/>
      <c r="L33" s="630"/>
      <c r="M33" s="630"/>
      <c r="N33" s="630"/>
      <c r="O33" s="630"/>
      <c r="P33" s="630"/>
    </row>
    <row r="34" spans="1:16" ht="24" customHeight="1">
      <c r="A34" s="630"/>
      <c r="B34" s="707" t="s">
        <v>547</v>
      </c>
      <c r="C34" s="708"/>
      <c r="D34" s="708"/>
      <c r="E34" s="708"/>
      <c r="F34" s="618">
        <f>J20</f>
        <v>16569920</v>
      </c>
      <c r="G34" s="630"/>
      <c r="H34" s="661" t="s">
        <v>536</v>
      </c>
      <c r="I34" s="662"/>
      <c r="J34" s="588" t="s">
        <v>525</v>
      </c>
      <c r="K34" s="630"/>
      <c r="L34" s="630"/>
      <c r="M34" s="630"/>
      <c r="N34" s="630"/>
      <c r="O34" s="630"/>
      <c r="P34" s="630"/>
    </row>
    <row r="35" spans="1:16" ht="24" customHeight="1">
      <c r="A35" s="630"/>
      <c r="B35" s="697" t="s">
        <v>548</v>
      </c>
      <c r="C35" s="698"/>
      <c r="D35" s="698"/>
      <c r="E35" s="698"/>
      <c r="F35" s="547">
        <f>'کاربرگ ورود اطلاعات'!F17</f>
        <v>0</v>
      </c>
      <c r="G35" s="630"/>
      <c r="H35" s="661" t="s">
        <v>554</v>
      </c>
      <c r="I35" s="662"/>
      <c r="J35" s="588" t="s">
        <v>525</v>
      </c>
      <c r="K35" s="630"/>
      <c r="L35" s="630"/>
      <c r="M35" s="630"/>
      <c r="N35" s="630"/>
      <c r="O35" s="630"/>
      <c r="P35" s="630"/>
    </row>
    <row r="36" spans="1:16" ht="24" customHeight="1" thickBot="1">
      <c r="A36" s="630"/>
      <c r="B36" s="695" t="s">
        <v>545</v>
      </c>
      <c r="C36" s="696"/>
      <c r="D36" s="696"/>
      <c r="E36" s="696"/>
      <c r="F36" s="617" t="e">
        <f>IF('کاربرگ ورود اطلاعات'!F17='کاربرگ قرارداد'!H33,0,(('کاربرگ قرارداد'!H33-'کاربرگ ورود اطلاعات'!F17)*100)/'کاربرگ ورود اطلاعات'!F17)</f>
        <v>#DIV/0!</v>
      </c>
      <c r="G36" s="630"/>
      <c r="H36" s="663" t="s">
        <v>537</v>
      </c>
      <c r="I36" s="664"/>
      <c r="J36" s="589" t="s">
        <v>525</v>
      </c>
      <c r="K36" s="630"/>
      <c r="L36" s="630"/>
      <c r="M36" s="630"/>
      <c r="N36" s="630"/>
      <c r="O36" s="630"/>
      <c r="P36" s="630"/>
    </row>
    <row r="37" spans="1:16" ht="24" customHeight="1">
      <c r="A37" s="630"/>
      <c r="B37" s="630"/>
      <c r="C37" s="630"/>
      <c r="D37" s="630"/>
      <c r="E37" s="546"/>
      <c r="F37" s="546"/>
      <c r="G37" s="630"/>
      <c r="H37" s="630"/>
      <c r="I37" s="630"/>
      <c r="J37" s="630"/>
      <c r="K37" s="630"/>
      <c r="L37" s="630"/>
      <c r="M37" s="630"/>
      <c r="N37" s="630"/>
      <c r="O37" s="630"/>
      <c r="P37" s="630"/>
    </row>
    <row r="38" spans="1:16">
      <c r="A38" s="630"/>
      <c r="B38" s="630"/>
      <c r="C38" s="630"/>
      <c r="D38" s="630"/>
      <c r="E38" s="630"/>
      <c r="F38" s="630"/>
      <c r="G38" s="630"/>
      <c r="H38" s="630"/>
      <c r="I38" s="630"/>
      <c r="J38" s="630"/>
      <c r="K38" s="630"/>
      <c r="L38" s="630"/>
      <c r="M38" s="630"/>
      <c r="N38" s="630"/>
      <c r="O38" s="630"/>
      <c r="P38" s="630"/>
    </row>
    <row r="39" spans="1:16">
      <c r="A39" s="630"/>
      <c r="B39" s="630"/>
      <c r="C39" s="630"/>
      <c r="D39" s="630"/>
      <c r="E39" s="630"/>
      <c r="F39" s="630"/>
      <c r="G39" s="630"/>
      <c r="H39" s="630"/>
      <c r="I39" s="630"/>
      <c r="J39" s="630"/>
      <c r="K39" s="630"/>
      <c r="L39" s="630"/>
      <c r="M39" s="630"/>
      <c r="N39" s="630"/>
      <c r="O39" s="630"/>
      <c r="P39" s="630"/>
    </row>
    <row r="40" spans="1:16">
      <c r="A40" s="630"/>
      <c r="B40" s="630"/>
      <c r="C40" s="630"/>
      <c r="D40" s="630"/>
      <c r="E40" s="630"/>
      <c r="F40" s="630"/>
      <c r="G40" s="630"/>
      <c r="H40" s="630"/>
      <c r="I40" s="630"/>
      <c r="J40" s="630"/>
      <c r="K40" s="630"/>
      <c r="L40" s="630"/>
      <c r="M40" s="630"/>
      <c r="N40" s="630"/>
      <c r="O40" s="630"/>
      <c r="P40" s="630"/>
    </row>
    <row r="41" spans="1:16">
      <c r="A41" s="630"/>
      <c r="B41" s="630"/>
      <c r="C41" s="630"/>
      <c r="D41" s="630"/>
      <c r="E41" s="630"/>
      <c r="F41" s="630"/>
      <c r="G41" s="630"/>
      <c r="H41" s="630"/>
      <c r="I41" s="630"/>
      <c r="J41" s="630"/>
      <c r="K41" s="630"/>
      <c r="L41" s="630"/>
      <c r="M41" s="630"/>
      <c r="N41" s="630"/>
      <c r="O41" s="630"/>
      <c r="P41" s="630"/>
    </row>
    <row r="42" spans="1:16">
      <c r="A42" s="630"/>
      <c r="B42" s="630"/>
      <c r="C42" s="630"/>
      <c r="D42" s="630"/>
      <c r="E42" s="630"/>
      <c r="F42" s="630"/>
      <c r="G42" s="630"/>
      <c r="H42" s="630"/>
      <c r="I42" s="630"/>
      <c r="J42" s="630"/>
      <c r="K42" s="630"/>
      <c r="L42" s="630"/>
      <c r="M42" s="630"/>
      <c r="N42" s="630"/>
      <c r="O42" s="630"/>
      <c r="P42" s="630"/>
    </row>
    <row r="43" spans="1:16">
      <c r="A43" s="630"/>
      <c r="B43" s="630"/>
      <c r="C43" s="630"/>
      <c r="D43" s="630"/>
      <c r="E43" s="630"/>
      <c r="F43" s="630"/>
      <c r="G43" s="630"/>
      <c r="H43" s="630"/>
      <c r="I43" s="630"/>
      <c r="J43" s="630"/>
      <c r="K43" s="630"/>
      <c r="L43" s="630"/>
      <c r="M43" s="630"/>
      <c r="N43" s="630"/>
      <c r="O43" s="630"/>
      <c r="P43" s="630"/>
    </row>
    <row r="44" spans="1:16">
      <c r="A44" s="630"/>
      <c r="B44" s="630"/>
      <c r="C44" s="630"/>
      <c r="D44" s="630"/>
      <c r="E44" s="630"/>
      <c r="F44" s="630"/>
      <c r="G44" s="630"/>
      <c r="H44" s="630"/>
      <c r="I44" s="630"/>
      <c r="J44" s="630"/>
      <c r="K44" s="630"/>
      <c r="L44" s="630"/>
      <c r="M44" s="630"/>
      <c r="N44" s="630"/>
      <c r="O44" s="630"/>
      <c r="P44" s="630"/>
    </row>
    <row r="45" spans="1:16">
      <c r="A45" s="630"/>
      <c r="B45" s="630"/>
      <c r="C45" s="630"/>
      <c r="D45" s="630"/>
      <c r="E45" s="630"/>
      <c r="F45" s="630"/>
      <c r="G45" s="630"/>
      <c r="H45" s="630"/>
      <c r="I45" s="630"/>
      <c r="J45" s="630"/>
      <c r="K45" s="630"/>
      <c r="L45" s="630"/>
      <c r="M45" s="630"/>
      <c r="N45" s="630"/>
      <c r="O45" s="630"/>
      <c r="P45" s="630"/>
    </row>
    <row r="46" spans="1:16">
      <c r="A46" s="630"/>
      <c r="B46" s="630"/>
      <c r="C46" s="630"/>
      <c r="D46" s="630"/>
      <c r="E46" s="630"/>
      <c r="F46" s="630"/>
      <c r="G46" s="630"/>
      <c r="H46" s="630"/>
      <c r="I46" s="630"/>
      <c r="J46" s="630"/>
      <c r="K46" s="630"/>
      <c r="L46" s="630"/>
      <c r="M46" s="630"/>
      <c r="N46" s="630"/>
      <c r="O46" s="630"/>
      <c r="P46" s="630"/>
    </row>
    <row r="47" spans="1:16">
      <c r="A47" s="630"/>
      <c r="B47" s="630"/>
      <c r="C47" s="630"/>
      <c r="D47" s="630"/>
      <c r="E47" s="630"/>
      <c r="F47" s="630"/>
      <c r="G47" s="630"/>
      <c r="H47" s="630"/>
      <c r="I47" s="630"/>
      <c r="J47" s="630"/>
      <c r="K47" s="630"/>
      <c r="L47" s="630"/>
      <c r="M47" s="630"/>
      <c r="N47" s="630"/>
      <c r="O47" s="630"/>
      <c r="P47" s="630"/>
    </row>
    <row r="48" spans="1:16">
      <c r="A48" s="630"/>
      <c r="B48" s="630"/>
      <c r="C48" s="630"/>
      <c r="D48" s="630"/>
      <c r="E48" s="630"/>
      <c r="F48" s="630"/>
      <c r="G48" s="630"/>
      <c r="H48" s="630"/>
      <c r="I48" s="630"/>
      <c r="J48" s="630"/>
      <c r="K48" s="630"/>
      <c r="L48" s="630"/>
      <c r="M48" s="630"/>
      <c r="N48" s="630"/>
      <c r="O48" s="630"/>
      <c r="P48" s="630"/>
    </row>
    <row r="49" spans="1:1">
      <c r="A49" s="630"/>
    </row>
    <row r="50" spans="1:1">
      <c r="A50" s="630"/>
    </row>
    <row r="51" spans="1:1">
      <c r="A51" s="630"/>
    </row>
    <row r="52" spans="1:1">
      <c r="A52" s="630"/>
    </row>
    <row r="53" spans="1:1">
      <c r="A53" s="630"/>
    </row>
    <row r="54" spans="1:1">
      <c r="A54" s="630"/>
    </row>
    <row r="55" spans="1:1">
      <c r="A55" s="630"/>
    </row>
    <row r="56" spans="1:1">
      <c r="A56" s="630"/>
    </row>
    <row r="57" spans="1:1">
      <c r="A57" s="630"/>
    </row>
    <row r="58" spans="1:1">
      <c r="A58" s="630"/>
    </row>
    <row r="59" spans="1:1">
      <c r="A59" s="630"/>
    </row>
    <row r="60" spans="1:1">
      <c r="A60" s="630"/>
    </row>
    <row r="61" spans="1:1">
      <c r="A61" s="630"/>
    </row>
    <row r="62" spans="1:1">
      <c r="A62" s="630"/>
    </row>
    <row r="63" spans="1:1">
      <c r="A63" s="630"/>
    </row>
    <row r="64" spans="1:1">
      <c r="A64" s="630"/>
    </row>
    <row r="65" spans="1:1">
      <c r="A65" s="630"/>
    </row>
    <row r="66" spans="1:1">
      <c r="A66" s="630"/>
    </row>
    <row r="67" spans="1:1">
      <c r="A67" s="630"/>
    </row>
    <row r="68" spans="1:1">
      <c r="A68" s="630"/>
    </row>
    <row r="69" spans="1:1">
      <c r="A69" s="630"/>
    </row>
    <row r="70" spans="1:1">
      <c r="A70" s="630"/>
    </row>
    <row r="71" spans="1:1">
      <c r="A71" s="630"/>
    </row>
    <row r="72" spans="1:1">
      <c r="A72" s="630"/>
    </row>
    <row r="73" spans="1:1">
      <c r="A73" s="630"/>
    </row>
    <row r="74" spans="1:1">
      <c r="A74" s="630"/>
    </row>
    <row r="75" spans="1:1">
      <c r="A75" s="630"/>
    </row>
    <row r="76" spans="1:1">
      <c r="A76" s="630"/>
    </row>
    <row r="77" spans="1:1">
      <c r="A77" s="630"/>
    </row>
    <row r="78" spans="1:1">
      <c r="A78" s="630"/>
    </row>
    <row r="79" spans="1:1">
      <c r="A79" s="630"/>
    </row>
    <row r="80" spans="1:1">
      <c r="A80" s="630"/>
    </row>
    <row r="81" spans="1:1">
      <c r="A81" s="630"/>
    </row>
    <row r="82" spans="1:1">
      <c r="A82" s="630"/>
    </row>
    <row r="83" spans="1:1">
      <c r="A83" s="630"/>
    </row>
    <row r="84" spans="1:1">
      <c r="A84" s="630"/>
    </row>
    <row r="85" spans="1:1">
      <c r="A85" s="630"/>
    </row>
    <row r="86" spans="1:1">
      <c r="A86" s="630"/>
    </row>
    <row r="87" spans="1:1">
      <c r="A87" s="630"/>
    </row>
    <row r="88" spans="1:1">
      <c r="A88" s="630"/>
    </row>
    <row r="89" spans="1:1">
      <c r="A89" s="630"/>
    </row>
    <row r="90" spans="1:1">
      <c r="A90" s="630"/>
    </row>
    <row r="91" spans="1:1">
      <c r="A91" s="630"/>
    </row>
    <row r="92" spans="1:1">
      <c r="A92" s="630"/>
    </row>
    <row r="93" spans="1:1">
      <c r="A93" s="630"/>
    </row>
    <row r="94" spans="1:1">
      <c r="A94" s="630"/>
    </row>
    <row r="95" spans="1:1">
      <c r="A95" s="630"/>
    </row>
    <row r="96" spans="1:1">
      <c r="A96" s="630"/>
    </row>
    <row r="97" spans="1:1">
      <c r="A97" s="630"/>
    </row>
    <row r="98" spans="1:1">
      <c r="A98" s="630"/>
    </row>
    <row r="99" spans="1:1">
      <c r="A99" s="630"/>
    </row>
    <row r="100" spans="1:1">
      <c r="A100" s="630"/>
    </row>
    <row r="101" spans="1:1">
      <c r="A101" s="630"/>
    </row>
    <row r="102" spans="1:1">
      <c r="A102" s="630"/>
    </row>
    <row r="103" spans="1:1">
      <c r="A103" s="630"/>
    </row>
    <row r="104" spans="1:1">
      <c r="A104" s="630"/>
    </row>
    <row r="105" spans="1:1">
      <c r="A105" s="630"/>
    </row>
    <row r="106" spans="1:1">
      <c r="A106" s="630"/>
    </row>
    <row r="107" spans="1:1">
      <c r="A107" s="630"/>
    </row>
    <row r="108" spans="1:1">
      <c r="A108" s="630"/>
    </row>
    <row r="109" spans="1:1">
      <c r="A109" s="630"/>
    </row>
    <row r="110" spans="1:1">
      <c r="A110" s="630"/>
    </row>
    <row r="111" spans="1:1">
      <c r="A111" s="630"/>
    </row>
    <row r="112" spans="1:1">
      <c r="A112" s="630"/>
    </row>
    <row r="113" spans="1:1">
      <c r="A113" s="630"/>
    </row>
    <row r="114" spans="1:1">
      <c r="A114" s="630"/>
    </row>
    <row r="115" spans="1:1">
      <c r="A115" s="630"/>
    </row>
    <row r="116" spans="1:1">
      <c r="A116" s="630"/>
    </row>
    <row r="117" spans="1:1">
      <c r="A117" s="630"/>
    </row>
    <row r="118" spans="1:1">
      <c r="A118" s="630"/>
    </row>
    <row r="119" spans="1:1">
      <c r="A119" s="630"/>
    </row>
    <row r="120" spans="1:1">
      <c r="A120" s="630"/>
    </row>
    <row r="121" spans="1:1">
      <c r="A121" s="630"/>
    </row>
    <row r="122" spans="1:1">
      <c r="A122" s="630"/>
    </row>
    <row r="123" spans="1:1">
      <c r="A123" s="630"/>
    </row>
    <row r="124" spans="1:1">
      <c r="A124" s="630"/>
    </row>
    <row r="125" spans="1:1">
      <c r="A125" s="630"/>
    </row>
    <row r="126" spans="1:1">
      <c r="A126" s="630"/>
    </row>
    <row r="127" spans="1:1">
      <c r="A127" s="630"/>
    </row>
    <row r="128" spans="1:1">
      <c r="A128" s="630"/>
    </row>
    <row r="129" spans="1:1">
      <c r="A129" s="630"/>
    </row>
    <row r="130" spans="1:1">
      <c r="A130" s="630"/>
    </row>
    <row r="131" spans="1:1">
      <c r="A131" s="630"/>
    </row>
    <row r="132" spans="1:1">
      <c r="A132" s="630"/>
    </row>
    <row r="133" spans="1:1">
      <c r="A133" s="630"/>
    </row>
    <row r="134" spans="1:1">
      <c r="A134" s="630"/>
    </row>
    <row r="135" spans="1:1">
      <c r="A135" s="630"/>
    </row>
    <row r="136" spans="1:1">
      <c r="A136" s="630"/>
    </row>
    <row r="137" spans="1:1">
      <c r="A137" s="630"/>
    </row>
    <row r="138" spans="1:1">
      <c r="A138" s="630"/>
    </row>
    <row r="139" spans="1:1">
      <c r="A139" s="630"/>
    </row>
    <row r="140" spans="1:1">
      <c r="A140" s="630"/>
    </row>
    <row r="141" spans="1:1">
      <c r="A141" s="630"/>
    </row>
    <row r="142" spans="1:1">
      <c r="A142" s="630"/>
    </row>
    <row r="143" spans="1:1">
      <c r="A143" s="630"/>
    </row>
  </sheetData>
  <sheetProtection algorithmName="SHA-512" hashValue="e1uK7TQPvAC9cP4TIvrxm27QDJwHcsYHJz0qZJYDyhBto7OtKBpohWlhIUUVbUMrUxY+p0z68OxQYAMDxTSifw==" saltValue="CxLVIyO3Jvh7rAmwIKViFw==" spinCount="100000" sheet="1" formatCells="0" formatColumns="0" formatRows="0" insertColumns="0" insertRows="0" insertHyperlinks="0" deleteColumns="0" deleteRows="0" sort="0" autoFilter="0" pivotTables="0"/>
  <mergeCells count="44">
    <mergeCell ref="B8:D8"/>
    <mergeCell ref="B9:D9"/>
    <mergeCell ref="B10:D10"/>
    <mergeCell ref="B11:D11"/>
    <mergeCell ref="B1:J1"/>
    <mergeCell ref="E2:F2"/>
    <mergeCell ref="G2:H2"/>
    <mergeCell ref="I2:J2"/>
    <mergeCell ref="C7:D7"/>
    <mergeCell ref="B2:D3"/>
    <mergeCell ref="B4:B7"/>
    <mergeCell ref="C4:D4"/>
    <mergeCell ref="C5:D5"/>
    <mergeCell ref="C6:D6"/>
    <mergeCell ref="B19:D19"/>
    <mergeCell ref="B20:D20"/>
    <mergeCell ref="B12:D12"/>
    <mergeCell ref="B13:D13"/>
    <mergeCell ref="B14:D14"/>
    <mergeCell ref="B15:D15"/>
    <mergeCell ref="B16:D16"/>
    <mergeCell ref="B17:D17"/>
    <mergeCell ref="B18:D18"/>
    <mergeCell ref="B22:E22"/>
    <mergeCell ref="B26:E26"/>
    <mergeCell ref="B23:E23"/>
    <mergeCell ref="B27:E27"/>
    <mergeCell ref="B30:E30"/>
    <mergeCell ref="B24:E24"/>
    <mergeCell ref="B28:E28"/>
    <mergeCell ref="H35:I35"/>
    <mergeCell ref="H36:I36"/>
    <mergeCell ref="B36:E36"/>
    <mergeCell ref="B35:E35"/>
    <mergeCell ref="G27:J27"/>
    <mergeCell ref="G28:J28"/>
    <mergeCell ref="G29:J29"/>
    <mergeCell ref="H33:I33"/>
    <mergeCell ref="H34:I34"/>
    <mergeCell ref="G30:J30"/>
    <mergeCell ref="G31:J31"/>
    <mergeCell ref="B31:E31"/>
    <mergeCell ref="B32:E32"/>
    <mergeCell ref="B34:E34"/>
  </mergeCells>
  <hyperlinks>
    <hyperlink ref="G31" r:id="rId1"/>
    <hyperlink ref="G28" r:id="rId2"/>
    <hyperlink ref="J34" location="'جدول محاسبه حق شاغل'!A1" display="ورود"/>
    <hyperlink ref="J35" location="'کاربرگ ورود اطلاعات'!A1" display="ورود"/>
    <hyperlink ref="J36" location="'کاربرگ قرارداد'!A1" display="ورود"/>
    <hyperlink ref="J33" location="'جدول محاسبه حق شغل'!A1" display="ورود"/>
  </hyperlinks>
  <printOptions horizontalCentered="1" verticalCentered="1"/>
  <pageMargins left="0.31496062992125984" right="0.31496062992125984" top="0.35433070866141736" bottom="0.35433070866141736" header="0" footer="0"/>
  <pageSetup paperSize="9" scale="84"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V146"/>
  <sheetViews>
    <sheetView rightToLeft="1" zoomScale="120" zoomScaleNormal="120" workbookViewId="0"/>
  </sheetViews>
  <sheetFormatPr defaultRowHeight="14.25"/>
  <cols>
    <col min="1" max="1" width="4.125" style="85" customWidth="1"/>
    <col min="2" max="2" width="27" style="85" customWidth="1"/>
    <col min="3" max="3" width="24.375" style="85" customWidth="1"/>
    <col min="4" max="4" width="14.625" style="85" customWidth="1"/>
    <col min="5" max="6" width="9" style="85"/>
    <col min="7" max="7" width="10.125" style="85" customWidth="1"/>
    <col min="8" max="8" width="13.125" style="85" customWidth="1"/>
    <col min="9" max="22" width="9" style="349"/>
    <col min="23" max="16384" width="9" style="85"/>
  </cols>
  <sheetData>
    <row r="1" spans="1:8" ht="24">
      <c r="A1" s="349"/>
      <c r="B1" s="781"/>
      <c r="C1" s="782" t="s">
        <v>401</v>
      </c>
      <c r="D1" s="782"/>
      <c r="E1" s="782"/>
      <c r="F1" s="350"/>
      <c r="G1" s="350"/>
      <c r="H1" s="350"/>
    </row>
    <row r="2" spans="1:8" ht="18">
      <c r="A2" s="349"/>
      <c r="B2" s="781"/>
      <c r="C2" s="783" t="s">
        <v>394</v>
      </c>
      <c r="D2" s="783"/>
      <c r="E2" s="783"/>
      <c r="F2" s="350"/>
      <c r="G2" s="784" t="s">
        <v>415</v>
      </c>
      <c r="H2" s="784"/>
    </row>
    <row r="3" spans="1:8" ht="4.5" customHeight="1" thickBot="1">
      <c r="A3" s="349"/>
      <c r="B3" s="781"/>
      <c r="C3" s="785"/>
      <c r="D3" s="785"/>
      <c r="E3" s="785"/>
      <c r="F3" s="351"/>
      <c r="G3" s="786"/>
      <c r="H3" s="786"/>
    </row>
    <row r="4" spans="1:8" ht="18">
      <c r="A4" s="349"/>
      <c r="B4" s="774" t="s">
        <v>395</v>
      </c>
      <c r="C4" s="775"/>
      <c r="D4" s="776" t="s">
        <v>472</v>
      </c>
      <c r="E4" s="777"/>
      <c r="F4" s="777"/>
      <c r="G4" s="778"/>
      <c r="H4" s="779"/>
    </row>
    <row r="5" spans="1:8" ht="18">
      <c r="A5" s="349"/>
      <c r="B5" s="735" t="s">
        <v>396</v>
      </c>
      <c r="C5" s="736"/>
      <c r="D5" s="780" t="s">
        <v>397</v>
      </c>
      <c r="E5" s="744"/>
      <c r="F5" s="744"/>
      <c r="G5" s="744"/>
      <c r="H5" s="746"/>
    </row>
    <row r="6" spans="1:8" ht="18">
      <c r="A6" s="349"/>
      <c r="B6" s="352" t="s">
        <v>402</v>
      </c>
      <c r="C6" s="744" t="s">
        <v>442</v>
      </c>
      <c r="D6" s="744"/>
      <c r="E6" s="744"/>
      <c r="F6" s="744" t="s">
        <v>398</v>
      </c>
      <c r="G6" s="744"/>
      <c r="H6" s="746"/>
    </row>
    <row r="7" spans="1:8" ht="24">
      <c r="A7" s="349"/>
      <c r="B7" s="512" t="s">
        <v>403</v>
      </c>
      <c r="C7" s="736" t="s">
        <v>408</v>
      </c>
      <c r="D7" s="736"/>
      <c r="E7" s="736"/>
      <c r="F7" s="747" t="s">
        <v>404</v>
      </c>
      <c r="G7" s="747"/>
      <c r="H7" s="748"/>
    </row>
    <row r="8" spans="1:8" ht="18">
      <c r="A8" s="349"/>
      <c r="B8" s="515" t="s">
        <v>405</v>
      </c>
      <c r="C8" s="744" t="s">
        <v>406</v>
      </c>
      <c r="D8" s="744"/>
      <c r="E8" s="744"/>
      <c r="F8" s="744" t="s">
        <v>399</v>
      </c>
      <c r="G8" s="744"/>
      <c r="H8" s="514"/>
    </row>
    <row r="9" spans="1:8" ht="18">
      <c r="A9" s="349"/>
      <c r="B9" s="745" t="s">
        <v>407</v>
      </c>
      <c r="C9" s="744"/>
      <c r="D9" s="513"/>
      <c r="E9" s="513"/>
      <c r="F9" s="513"/>
      <c r="G9" s="513"/>
      <c r="H9" s="514"/>
    </row>
    <row r="10" spans="1:8" ht="18">
      <c r="A10" s="349"/>
      <c r="B10" s="745" t="s">
        <v>409</v>
      </c>
      <c r="C10" s="744"/>
      <c r="D10" s="736" t="s">
        <v>410</v>
      </c>
      <c r="E10" s="736"/>
      <c r="F10" s="736"/>
      <c r="G10" s="736"/>
      <c r="H10" s="737"/>
    </row>
    <row r="11" spans="1:8" ht="18">
      <c r="A11" s="349"/>
      <c r="B11" s="745" t="str">
        <f>"14 - سابقه خدمت :      "&amp;Sheet1!Q82&amp;"   روز  "&amp;Sheet1!R82&amp;"   ماه   "&amp;Sheet1!S82&amp;"   سال"</f>
        <v>14 - سابقه خدمت :      1   روز  0   ماه   1399   سال</v>
      </c>
      <c r="C11" s="744"/>
      <c r="D11" s="744"/>
      <c r="E11" s="744"/>
      <c r="F11" s="744"/>
      <c r="G11" s="744"/>
      <c r="H11" s="746"/>
    </row>
    <row r="12" spans="1:8" ht="18">
      <c r="A12" s="349"/>
      <c r="B12" s="745" t="s">
        <v>440</v>
      </c>
      <c r="C12" s="744"/>
      <c r="D12" s="744"/>
      <c r="E12" s="744"/>
      <c r="F12" s="744"/>
      <c r="G12" s="744"/>
      <c r="H12" s="746"/>
    </row>
    <row r="13" spans="1:8" ht="18">
      <c r="A13" s="349"/>
      <c r="B13" s="745" t="s">
        <v>411</v>
      </c>
      <c r="C13" s="744"/>
      <c r="D13" s="744"/>
      <c r="E13" s="744"/>
      <c r="F13" s="744"/>
      <c r="G13" s="744"/>
      <c r="H13" s="746"/>
    </row>
    <row r="14" spans="1:8" ht="18">
      <c r="A14" s="349"/>
      <c r="B14" s="745" t="s">
        <v>441</v>
      </c>
      <c r="C14" s="744"/>
      <c r="D14" s="744"/>
      <c r="E14" s="744"/>
      <c r="F14" s="744"/>
      <c r="G14" s="744"/>
      <c r="H14" s="746"/>
    </row>
    <row r="15" spans="1:8" ht="22.5">
      <c r="A15" s="349"/>
      <c r="B15" s="732" t="s">
        <v>412</v>
      </c>
      <c r="C15" s="739"/>
      <c r="D15" s="770" t="s">
        <v>413</v>
      </c>
      <c r="E15" s="733"/>
      <c r="F15" s="733"/>
      <c r="G15" s="733"/>
      <c r="H15" s="734"/>
    </row>
    <row r="16" spans="1:8" ht="19.5">
      <c r="A16" s="349"/>
      <c r="B16" s="732" t="s">
        <v>414</v>
      </c>
      <c r="C16" s="739"/>
      <c r="D16" s="771" t="s">
        <v>428</v>
      </c>
      <c r="E16" s="772"/>
      <c r="F16" s="773"/>
      <c r="G16" s="361" t="s">
        <v>1</v>
      </c>
      <c r="H16" s="362" t="s">
        <v>37</v>
      </c>
    </row>
    <row r="17" spans="1:8" ht="21">
      <c r="A17" s="349"/>
      <c r="B17" s="353"/>
      <c r="C17" s="354"/>
      <c r="D17" s="712" t="s">
        <v>358</v>
      </c>
      <c r="E17" s="749" t="s">
        <v>6</v>
      </c>
      <c r="F17" s="751"/>
      <c r="G17" s="355">
        <f>('جدول محاسبه حق شغل'!H14+('جدول محاسبه حق شغل'!H14*'کاربرگ ورود اطلاعات'!F19%))*80%</f>
        <v>4000</v>
      </c>
      <c r="H17" s="356">
        <f>G17*2120</f>
        <v>8480000</v>
      </c>
    </row>
    <row r="18" spans="1:8" ht="21">
      <c r="A18" s="349"/>
      <c r="B18" s="353"/>
      <c r="C18" s="354"/>
      <c r="D18" s="767"/>
      <c r="E18" s="749" t="s">
        <v>8</v>
      </c>
      <c r="F18" s="751"/>
      <c r="G18" s="355">
        <f>('حکم کارگزینی'!F17+('حکم کارگزینی'!F17*'کاربرگ ورود اطلاعات'!F19%))*80%</f>
        <v>2616</v>
      </c>
      <c r="H18" s="356">
        <f>G18*2120</f>
        <v>5545920</v>
      </c>
    </row>
    <row r="19" spans="1:8" ht="21">
      <c r="A19" s="349"/>
      <c r="B19" s="353"/>
      <c r="C19" s="354"/>
      <c r="D19" s="767"/>
      <c r="E19" s="749" t="s">
        <v>7</v>
      </c>
      <c r="F19" s="751"/>
      <c r="G19" s="355">
        <f>((Sheet1!I165+(Sheet1!I165*'کاربرگ ورود اطلاعات'!F19%))*80%)</f>
        <v>0</v>
      </c>
      <c r="H19" s="356">
        <f>G19*2120</f>
        <v>0</v>
      </c>
    </row>
    <row r="20" spans="1:8" ht="21">
      <c r="A20" s="349"/>
      <c r="B20" s="765"/>
      <c r="C20" s="766"/>
      <c r="D20" s="726"/>
      <c r="E20" s="768" t="s">
        <v>9</v>
      </c>
      <c r="F20" s="769"/>
      <c r="G20" s="357">
        <f>SUM(G17:G19)</f>
        <v>6616</v>
      </c>
      <c r="H20" s="358">
        <f xml:space="preserve"> SUM(H17:H19)</f>
        <v>14025920</v>
      </c>
    </row>
    <row r="21" spans="1:8" ht="21">
      <c r="A21" s="349"/>
      <c r="B21" s="765"/>
      <c r="C21" s="766"/>
      <c r="D21" s="749" t="s">
        <v>416</v>
      </c>
      <c r="E21" s="750"/>
      <c r="F21" s="751"/>
      <c r="G21" s="355">
        <f>('حکم کارگزینی'!F20+('حکم کارگزینی'!F20*'کاربرگ ورود اطلاعات'!F19%))*80%</f>
        <v>1200</v>
      </c>
      <c r="H21" s="356">
        <f>G21*2120</f>
        <v>2544000</v>
      </c>
    </row>
    <row r="22" spans="1:8" ht="21">
      <c r="A22" s="349"/>
      <c r="B22" s="765"/>
      <c r="C22" s="766"/>
      <c r="D22" s="749" t="s">
        <v>417</v>
      </c>
      <c r="E22" s="750"/>
      <c r="F22" s="751"/>
      <c r="G22" s="355"/>
      <c r="H22" s="356">
        <f>SUM('کاربرگ قرارداد'!H17,'کاربرگ قرارداد'!H18,'کاربرگ قرارداد'!H19,'کاربرگ قرارداد'!H21,'کاربرگ قرارداد'!H25,'کاربرگ قرارداد'!H26,'کاربرگ قرارداد'!H27,'کاربرگ قرارداد'!H28)*'کاربرگ ورود اطلاعات'!I11%</f>
        <v>0</v>
      </c>
    </row>
    <row r="23" spans="1:8" ht="21">
      <c r="A23" s="349"/>
      <c r="B23" s="763"/>
      <c r="C23" s="764"/>
      <c r="D23" s="749" t="s">
        <v>418</v>
      </c>
      <c r="E23" s="750"/>
      <c r="F23" s="751"/>
      <c r="G23" s="355"/>
      <c r="H23" s="356">
        <f>H20*Sheet1!G113%</f>
        <v>0</v>
      </c>
    </row>
    <row r="24" spans="1:8" ht="21">
      <c r="A24" s="349"/>
      <c r="B24" s="763"/>
      <c r="C24" s="764"/>
      <c r="D24" s="749" t="s">
        <v>419</v>
      </c>
      <c r="E24" s="750"/>
      <c r="F24" s="751"/>
      <c r="G24" s="355"/>
      <c r="H24" s="356">
        <f>H20*Sheet1!M113%</f>
        <v>0</v>
      </c>
    </row>
    <row r="25" spans="1:8" ht="21">
      <c r="A25" s="349"/>
      <c r="B25" s="353"/>
      <c r="C25" s="354"/>
      <c r="D25" s="749" t="s">
        <v>420</v>
      </c>
      <c r="E25" s="750"/>
      <c r="F25" s="751"/>
      <c r="G25" s="355">
        <f>('حکم کارگزینی'!F25+('حکم کارگزینی'!F25*'کاربرگ ورود اطلاعات'!F19%))*80%</f>
        <v>0</v>
      </c>
      <c r="H25" s="356">
        <f t="shared" ref="H25:H30" si="0">G25*2120</f>
        <v>0</v>
      </c>
    </row>
    <row r="26" spans="1:8" ht="21">
      <c r="A26" s="349"/>
      <c r="B26" s="353"/>
      <c r="C26" s="354"/>
      <c r="D26" s="749" t="s">
        <v>421</v>
      </c>
      <c r="E26" s="750"/>
      <c r="F26" s="751"/>
      <c r="G26" s="355">
        <f>('حکم کارگزینی'!F27+('حکم کارگزینی'!F27*'کاربرگ ورود اطلاعات'!F19%))*80%</f>
        <v>0</v>
      </c>
      <c r="H26" s="356">
        <f>G26*2120</f>
        <v>0</v>
      </c>
    </row>
    <row r="27" spans="1:8" ht="21">
      <c r="A27" s="349"/>
      <c r="B27" s="353"/>
      <c r="C27" s="354"/>
      <c r="D27" s="749" t="s">
        <v>422</v>
      </c>
      <c r="E27" s="750"/>
      <c r="F27" s="751"/>
      <c r="G27" s="355">
        <f>('حکم کارگزینی'!F28+('حکم کارگزینی'!F28*'کاربرگ ورود اطلاعات'!F19%))*80%</f>
        <v>0</v>
      </c>
      <c r="H27" s="356">
        <f t="shared" si="0"/>
        <v>0</v>
      </c>
    </row>
    <row r="28" spans="1:8" ht="24">
      <c r="A28" s="349"/>
      <c r="B28" s="752"/>
      <c r="C28" s="753"/>
      <c r="D28" s="749" t="s">
        <v>423</v>
      </c>
      <c r="E28" s="750"/>
      <c r="F28" s="751"/>
      <c r="G28" s="355">
        <f>('حکم کارگزینی'!F29+('حکم کارگزینی'!F29*'کاربرگ ورود اطلاعات'!F19%))*80%</f>
        <v>0</v>
      </c>
      <c r="H28" s="356">
        <f t="shared" si="0"/>
        <v>0</v>
      </c>
    </row>
    <row r="29" spans="1:8" ht="21">
      <c r="A29" s="349"/>
      <c r="B29" s="754"/>
      <c r="C29" s="755"/>
      <c r="D29" s="749" t="s">
        <v>424</v>
      </c>
      <c r="E29" s="750"/>
      <c r="F29" s="751"/>
      <c r="G29" s="355">
        <f>'حکم کارگزینی'!F30+('حکم کارگزینی'!F30*'کاربرگ ورود اطلاعات'!F19%)</f>
        <v>0</v>
      </c>
      <c r="H29" s="356">
        <f t="shared" si="0"/>
        <v>0</v>
      </c>
    </row>
    <row r="30" spans="1:8" ht="21">
      <c r="A30" s="349"/>
      <c r="B30" s="353"/>
      <c r="C30" s="354"/>
      <c r="D30" s="749" t="s">
        <v>425</v>
      </c>
      <c r="E30" s="750"/>
      <c r="F30" s="751"/>
      <c r="G30" s="355">
        <f>'حکم کارگزینی'!F31+('حکم کارگزینی'!F31*'کاربرگ ورود اطلاعات'!F19%)</f>
        <v>0</v>
      </c>
      <c r="H30" s="356">
        <f t="shared" si="0"/>
        <v>0</v>
      </c>
    </row>
    <row r="31" spans="1:8" ht="21">
      <c r="A31" s="349"/>
      <c r="B31" s="353"/>
      <c r="C31" s="354"/>
      <c r="D31" s="749" t="s">
        <v>426</v>
      </c>
      <c r="E31" s="750"/>
      <c r="F31" s="751"/>
      <c r="G31" s="355"/>
      <c r="H31" s="356">
        <f>H17*'کاربرگ ورود اطلاعات'!I18%</f>
        <v>0</v>
      </c>
    </row>
    <row r="32" spans="1:8" ht="21">
      <c r="A32" s="349"/>
      <c r="B32" s="353"/>
      <c r="C32" s="354"/>
      <c r="D32" s="749" t="s">
        <v>427</v>
      </c>
      <c r="E32" s="750"/>
      <c r="F32" s="751"/>
      <c r="G32" s="355"/>
      <c r="H32" s="356">
        <f>IF('کاربرگ ورود اطلاعات'!F17&gt;=Sheet1!F169,'کاربرگ ورود اطلاعات'!F17-Sheet1!F169,0)</f>
        <v>0</v>
      </c>
    </row>
    <row r="33" spans="1:8" ht="21">
      <c r="A33" s="349"/>
      <c r="B33" s="359"/>
      <c r="C33" s="360"/>
      <c r="D33" s="760" t="s">
        <v>368</v>
      </c>
      <c r="E33" s="761"/>
      <c r="F33" s="762"/>
      <c r="G33" s="363">
        <f>SUM(G20:G32)</f>
        <v>7816</v>
      </c>
      <c r="H33" s="364">
        <f>SUM(H20:H32)</f>
        <v>16569920</v>
      </c>
    </row>
    <row r="34" spans="1:8" ht="18">
      <c r="A34" s="349"/>
      <c r="B34" s="732" t="s">
        <v>429</v>
      </c>
      <c r="C34" s="733"/>
      <c r="D34" s="733"/>
      <c r="E34" s="733"/>
      <c r="F34" s="733"/>
      <c r="G34" s="733"/>
      <c r="H34" s="734"/>
    </row>
    <row r="35" spans="1:8" ht="129.75" customHeight="1">
      <c r="A35" s="349"/>
      <c r="B35" s="756" t="s">
        <v>430</v>
      </c>
      <c r="C35" s="757"/>
      <c r="D35" s="757"/>
      <c r="E35" s="757"/>
      <c r="F35" s="757"/>
      <c r="G35" s="757"/>
      <c r="H35" s="758"/>
    </row>
    <row r="36" spans="1:8" ht="76.5" customHeight="1">
      <c r="A36" s="349"/>
      <c r="B36" s="756" t="s">
        <v>431</v>
      </c>
      <c r="C36" s="757"/>
      <c r="D36" s="757"/>
      <c r="E36" s="757"/>
      <c r="F36" s="757"/>
      <c r="G36" s="757"/>
      <c r="H36" s="758"/>
    </row>
    <row r="37" spans="1:8" ht="18">
      <c r="A37" s="349"/>
      <c r="B37" s="732" t="s">
        <v>432</v>
      </c>
      <c r="C37" s="733"/>
      <c r="D37" s="733"/>
      <c r="E37" s="733"/>
      <c r="F37" s="733"/>
      <c r="G37" s="733"/>
      <c r="H37" s="734"/>
    </row>
    <row r="38" spans="1:8" ht="18">
      <c r="A38" s="349"/>
      <c r="B38" s="735" t="s">
        <v>433</v>
      </c>
      <c r="C38" s="736"/>
      <c r="D38" s="736"/>
      <c r="E38" s="736"/>
      <c r="F38" s="736"/>
      <c r="G38" s="736"/>
      <c r="H38" s="737"/>
    </row>
    <row r="39" spans="1:8" ht="46.5" customHeight="1">
      <c r="A39" s="349"/>
      <c r="B39" s="759" t="s">
        <v>434</v>
      </c>
      <c r="C39" s="738"/>
      <c r="D39" s="738" t="s">
        <v>435</v>
      </c>
      <c r="E39" s="738"/>
      <c r="F39" s="738"/>
      <c r="G39" s="738"/>
      <c r="H39" s="730"/>
    </row>
    <row r="40" spans="1:8" ht="19.5" customHeight="1">
      <c r="A40" s="349"/>
      <c r="B40" s="732" t="s">
        <v>436</v>
      </c>
      <c r="C40" s="739"/>
      <c r="D40" s="728" t="s">
        <v>439</v>
      </c>
      <c r="E40" s="728"/>
      <c r="F40" s="728"/>
      <c r="G40" s="728"/>
      <c r="H40" s="730" t="s">
        <v>437</v>
      </c>
    </row>
    <row r="41" spans="1:8" ht="18">
      <c r="A41" s="349"/>
      <c r="B41" s="740"/>
      <c r="C41" s="741"/>
      <c r="D41" s="729"/>
      <c r="E41" s="729"/>
      <c r="F41" s="729"/>
      <c r="G41" s="729"/>
      <c r="H41" s="730"/>
    </row>
    <row r="42" spans="1:8" ht="18.75" thickBot="1">
      <c r="A42" s="349"/>
      <c r="B42" s="742" t="s">
        <v>438</v>
      </c>
      <c r="C42" s="743"/>
      <c r="D42" s="727" t="s">
        <v>400</v>
      </c>
      <c r="E42" s="727"/>
      <c r="F42" s="727"/>
      <c r="G42" s="727"/>
      <c r="H42" s="731"/>
    </row>
    <row r="43" spans="1:8" s="349" customFormat="1"/>
    <row r="44" spans="1:8" s="349" customFormat="1"/>
    <row r="45" spans="1:8" s="349" customFormat="1"/>
    <row r="46" spans="1:8" s="349" customFormat="1"/>
    <row r="47" spans="1:8" s="349" customFormat="1"/>
    <row r="48" spans="1:8" s="349" customFormat="1"/>
    <row r="49" s="349" customFormat="1"/>
    <row r="50" s="349" customFormat="1"/>
    <row r="51" s="349" customFormat="1"/>
    <row r="52" s="349" customFormat="1"/>
    <row r="53" s="349" customFormat="1"/>
    <row r="54" s="349" customFormat="1"/>
    <row r="55" s="349" customFormat="1"/>
    <row r="56" s="349" customFormat="1"/>
    <row r="57" s="349" customFormat="1"/>
    <row r="58" s="349" customFormat="1"/>
    <row r="59" s="349" customFormat="1"/>
    <row r="60" s="349" customFormat="1"/>
    <row r="61" s="349" customFormat="1"/>
    <row r="62" s="349" customFormat="1"/>
    <row r="63" s="349" customFormat="1"/>
    <row r="64" s="349" customFormat="1"/>
    <row r="65" s="349" customFormat="1"/>
    <row r="66" s="349" customFormat="1"/>
    <row r="67" s="349" customFormat="1"/>
    <row r="68" s="349" customFormat="1"/>
    <row r="69" s="349" customFormat="1"/>
    <row r="70" s="349" customFormat="1"/>
    <row r="71" s="349" customFormat="1"/>
    <row r="72" s="349" customFormat="1"/>
    <row r="73" s="349" customFormat="1"/>
    <row r="74" s="349" customFormat="1"/>
    <row r="75" s="349" customFormat="1"/>
    <row r="76" s="349" customFormat="1"/>
    <row r="77" s="349" customFormat="1"/>
    <row r="78" s="349" customFormat="1"/>
    <row r="79" s="349" customFormat="1"/>
    <row r="80" s="349" customFormat="1"/>
    <row r="81" s="349" customFormat="1"/>
    <row r="82" s="349" customFormat="1"/>
    <row r="83" s="349" customFormat="1"/>
    <row r="84" s="349" customFormat="1"/>
    <row r="85" s="349" customFormat="1"/>
    <row r="86" s="349" customFormat="1"/>
    <row r="87" s="349" customFormat="1"/>
    <row r="88" s="349" customFormat="1"/>
    <row r="89" s="349" customFormat="1"/>
    <row r="90" s="349" customFormat="1"/>
    <row r="91" s="349" customFormat="1"/>
    <row r="92" s="349" customFormat="1"/>
    <row r="93" s="349" customFormat="1"/>
    <row r="94" s="349" customFormat="1"/>
    <row r="95" s="349" customFormat="1"/>
    <row r="96" s="349" customFormat="1"/>
    <row r="97" s="349" customFormat="1"/>
    <row r="98" s="349" customFormat="1"/>
    <row r="99" s="349" customFormat="1"/>
    <row r="100" s="349" customFormat="1"/>
    <row r="101" s="349" customFormat="1"/>
    <row r="102" s="349" customFormat="1"/>
    <row r="103" s="349" customFormat="1"/>
    <row r="104" s="349" customFormat="1"/>
    <row r="105" s="349" customFormat="1"/>
    <row r="106" s="349" customFormat="1"/>
    <row r="107" s="349" customFormat="1"/>
    <row r="108" s="349" customFormat="1"/>
    <row r="109" s="349" customFormat="1"/>
    <row r="110" s="349" customFormat="1"/>
    <row r="111" s="349" customFormat="1"/>
    <row r="112" s="349" customFormat="1"/>
    <row r="113" s="349" customFormat="1"/>
    <row r="114" s="349" customFormat="1"/>
    <row r="115" s="349" customFormat="1"/>
    <row r="116" s="349" customFormat="1"/>
    <row r="117" s="349" customFormat="1"/>
    <row r="118" s="349" customFormat="1"/>
    <row r="119" s="349" customFormat="1"/>
    <row r="120" s="349" customFormat="1"/>
    <row r="121" s="349" customFormat="1"/>
    <row r="122" s="349" customFormat="1"/>
    <row r="123" s="349" customFormat="1"/>
    <row r="124" s="349" customFormat="1"/>
    <row r="125" s="349" customFormat="1"/>
    <row r="126" s="349" customFormat="1"/>
    <row r="127" s="349" customFormat="1"/>
    <row r="128" s="349" customFormat="1"/>
    <row r="129" s="349" customFormat="1"/>
    <row r="130" s="349" customFormat="1"/>
    <row r="131" s="349" customFormat="1"/>
    <row r="132" s="349" customFormat="1"/>
    <row r="133" s="349" customFormat="1"/>
    <row r="134" s="349" customFormat="1"/>
    <row r="135" s="349" customFormat="1"/>
    <row r="136" s="349" customFormat="1"/>
    <row r="137" s="349" customFormat="1"/>
    <row r="138" s="349" customFormat="1"/>
    <row r="139" s="349" customFormat="1"/>
    <row r="140" s="349" customFormat="1"/>
    <row r="141" s="349" customFormat="1"/>
    <row r="142" s="349" customFormat="1"/>
    <row r="143" s="349" customFormat="1"/>
    <row r="144" s="349" customFormat="1"/>
    <row r="145" s="349" customFormat="1"/>
    <row r="146" s="349" customFormat="1"/>
  </sheetData>
  <sheetProtection algorithmName="SHA-512" hashValue="9SGwLNVREBMZR2N28sMdUFiu/5e8BFx4zpDiFSYTiODwZ+Z3KHPQb4acWLlfpzxYnTEBYC6VJb95Lb5BK/hY2Q==" saltValue="+BIdYxuWYoJcljVyyxH+9g==" spinCount="100000" sheet="1" formatCells="0" formatColumns="0" formatRows="0" insertColumns="0" insertRows="0" insertHyperlinks="0" deleteColumns="0" deleteRows="0" sort="0" autoFilter="0" pivotTables="0"/>
  <mergeCells count="65">
    <mergeCell ref="B1:B3"/>
    <mergeCell ref="C1:E1"/>
    <mergeCell ref="C2:E2"/>
    <mergeCell ref="G2:H2"/>
    <mergeCell ref="C3:E3"/>
    <mergeCell ref="G3:H3"/>
    <mergeCell ref="B4:C4"/>
    <mergeCell ref="D4:H4"/>
    <mergeCell ref="B5:C5"/>
    <mergeCell ref="C6:E6"/>
    <mergeCell ref="F6:H6"/>
    <mergeCell ref="D5:H5"/>
    <mergeCell ref="B12:H12"/>
    <mergeCell ref="B14:H14"/>
    <mergeCell ref="B15:C15"/>
    <mergeCell ref="D15:H15"/>
    <mergeCell ref="B16:C16"/>
    <mergeCell ref="D16:F16"/>
    <mergeCell ref="B13:H13"/>
    <mergeCell ref="D17:D20"/>
    <mergeCell ref="E17:F17"/>
    <mergeCell ref="E18:F18"/>
    <mergeCell ref="E19:F19"/>
    <mergeCell ref="B20:C20"/>
    <mergeCell ref="E20:F20"/>
    <mergeCell ref="D23:F23"/>
    <mergeCell ref="B24:C24"/>
    <mergeCell ref="D24:F24"/>
    <mergeCell ref="D25:F25"/>
    <mergeCell ref="B21:C21"/>
    <mergeCell ref="D21:F21"/>
    <mergeCell ref="B22:C22"/>
    <mergeCell ref="D22:F22"/>
    <mergeCell ref="B23:C23"/>
    <mergeCell ref="B36:H36"/>
    <mergeCell ref="B34:H34"/>
    <mergeCell ref="B35:H35"/>
    <mergeCell ref="B39:C39"/>
    <mergeCell ref="D30:F30"/>
    <mergeCell ref="D31:F31"/>
    <mergeCell ref="D32:F32"/>
    <mergeCell ref="D33:F33"/>
    <mergeCell ref="D26:F26"/>
    <mergeCell ref="D27:F27"/>
    <mergeCell ref="B28:C28"/>
    <mergeCell ref="D28:F28"/>
    <mergeCell ref="B29:C29"/>
    <mergeCell ref="D29:F29"/>
    <mergeCell ref="C8:E8"/>
    <mergeCell ref="B9:C9"/>
    <mergeCell ref="D10:H10"/>
    <mergeCell ref="B11:H11"/>
    <mergeCell ref="C7:E7"/>
    <mergeCell ref="F7:H7"/>
    <mergeCell ref="F8:G8"/>
    <mergeCell ref="B10:C10"/>
    <mergeCell ref="D42:G42"/>
    <mergeCell ref="D40:G41"/>
    <mergeCell ref="H40:H42"/>
    <mergeCell ref="B37:H37"/>
    <mergeCell ref="B38:H38"/>
    <mergeCell ref="D39:H39"/>
    <mergeCell ref="B40:C40"/>
    <mergeCell ref="B41:C41"/>
    <mergeCell ref="B42:C42"/>
  </mergeCells>
  <printOptions horizontalCentered="1" verticalCentered="1"/>
  <pageMargins left="0.11811023622047245" right="0.11811023622047245" top="0.15748031496062992" bottom="0.15748031496062992" header="0.11811023622047245" footer="0.11811023622047245"/>
  <pageSetup paperSize="9" scale="83"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F0"/>
  </sheetPr>
  <dimension ref="A1:AK180"/>
  <sheetViews>
    <sheetView rightToLeft="1" topLeftCell="A12" workbookViewId="0">
      <selection activeCell="D21" sqref="D21"/>
    </sheetView>
  </sheetViews>
  <sheetFormatPr defaultColWidth="9" defaultRowHeight="22.5"/>
  <cols>
    <col min="1" max="1" width="25.625" style="1" bestFit="1" customWidth="1"/>
    <col min="2" max="2" width="12.75" style="1" bestFit="1" customWidth="1"/>
    <col min="3" max="3" width="40.625" style="1" bestFit="1" customWidth="1"/>
    <col min="4" max="4" width="23.125" style="1" bestFit="1" customWidth="1"/>
    <col min="5" max="5" width="18.875" style="1" customWidth="1"/>
    <col min="6" max="6" width="20.125" style="1" bestFit="1" customWidth="1"/>
    <col min="7" max="7" width="10.125" style="1" bestFit="1" customWidth="1"/>
    <col min="8" max="8" width="10.375" style="1" bestFit="1" customWidth="1"/>
    <col min="9" max="9" width="15" style="2" bestFit="1" customWidth="1"/>
    <col min="10" max="10" width="23.125" style="3" bestFit="1" customWidth="1"/>
    <col min="11" max="11" width="9" style="1"/>
    <col min="12" max="12" width="10.375" style="1" bestFit="1" customWidth="1"/>
    <col min="13" max="14" width="9" style="1"/>
    <col min="15" max="16" width="8.875" style="1" customWidth="1"/>
    <col min="17" max="19" width="9" style="1"/>
    <col min="20" max="20" width="11.75" style="1" bestFit="1" customWidth="1"/>
    <col min="21" max="21" width="9" style="1"/>
    <col min="22" max="22" width="13.875" style="1" customWidth="1"/>
    <col min="23" max="23" width="9.375" style="1" bestFit="1" customWidth="1"/>
    <col min="24" max="24" width="9" style="1"/>
    <col min="25" max="25" width="14.375" style="1" bestFit="1" customWidth="1"/>
    <col min="26" max="26" width="9.375" style="1" bestFit="1" customWidth="1"/>
    <col min="27" max="28" width="9" style="1"/>
    <col min="29" max="29" width="7" style="1" bestFit="1" customWidth="1"/>
    <col min="30" max="30" width="13.875" style="1" bestFit="1" customWidth="1"/>
    <col min="31" max="31" width="9" style="1"/>
    <col min="32" max="32" width="13.625" style="1" bestFit="1" customWidth="1"/>
    <col min="33" max="33" width="9" style="1"/>
    <col min="34" max="34" width="20.75" style="1" customWidth="1"/>
    <col min="35" max="16384" width="9" style="1"/>
  </cols>
  <sheetData>
    <row r="1" spans="1:37" ht="23.25" thickBot="1">
      <c r="A1" s="15"/>
      <c r="B1" s="141" t="s">
        <v>222</v>
      </c>
      <c r="C1" s="116" t="s">
        <v>203</v>
      </c>
      <c r="D1" s="114" t="s">
        <v>30</v>
      </c>
      <c r="E1" s="15"/>
      <c r="F1" s="16" t="s">
        <v>29</v>
      </c>
      <c r="G1" s="17">
        <v>0</v>
      </c>
      <c r="H1" s="18">
        <v>0</v>
      </c>
      <c r="I1" s="272" t="s">
        <v>2</v>
      </c>
      <c r="J1" s="267"/>
      <c r="K1" s="53" t="s">
        <v>70</v>
      </c>
      <c r="L1" s="19" t="s">
        <v>1</v>
      </c>
      <c r="M1" s="20"/>
      <c r="N1" s="21" t="s">
        <v>98</v>
      </c>
      <c r="O1" s="22" t="s">
        <v>99</v>
      </c>
      <c r="P1" s="23" t="s">
        <v>100</v>
      </c>
      <c r="Q1" s="21" t="s">
        <v>98</v>
      </c>
      <c r="R1" s="22" t="s">
        <v>99</v>
      </c>
      <c r="S1" s="23" t="s">
        <v>100</v>
      </c>
      <c r="U1" s="1">
        <v>0</v>
      </c>
      <c r="AK1" s="15"/>
    </row>
    <row r="2" spans="1:37" ht="23.25" thickBot="1">
      <c r="A2" s="15"/>
      <c r="B2" s="15"/>
      <c r="C2" s="117" t="s">
        <v>204</v>
      </c>
      <c r="D2" s="115" t="s">
        <v>152</v>
      </c>
      <c r="E2" s="15"/>
      <c r="F2" s="27" t="s">
        <v>30</v>
      </c>
      <c r="G2" s="28">
        <v>0.01</v>
      </c>
      <c r="H2" s="29">
        <v>1</v>
      </c>
      <c r="I2" s="273">
        <f>حکم!B5*محاسبات!B4</f>
        <v>9153000</v>
      </c>
      <c r="J2" s="268" t="s">
        <v>6</v>
      </c>
      <c r="K2" s="265">
        <v>1</v>
      </c>
      <c r="L2" s="30">
        <v>2400</v>
      </c>
      <c r="M2" s="20">
        <f>IF(محاسبات!E148=محاسبات!K2,L2,0)</f>
        <v>0</v>
      </c>
      <c r="N2" s="31">
        <f>IF(F4='کاربرگ ورود اطلاعات'!I5,0,0)</f>
        <v>0</v>
      </c>
      <c r="O2" s="32">
        <f>IF(F5='کاربرگ ورود اطلاعات'!I6,0,0)</f>
        <v>0</v>
      </c>
      <c r="P2" s="33">
        <f t="shared" ref="P2:P9" si="0">O2*N2</f>
        <v>0</v>
      </c>
      <c r="Q2" s="31">
        <f>IF(F4='کاربرگ ورود اطلاعات'!I5,0,0)</f>
        <v>0</v>
      </c>
      <c r="R2" s="32">
        <f>IF(F5='کاربرگ ورود اطلاعات'!I6,0,0)</f>
        <v>0</v>
      </c>
      <c r="S2" s="263">
        <f t="shared" ref="S2:S9" si="1">R2*Q2</f>
        <v>0</v>
      </c>
      <c r="U2" s="1">
        <v>20</v>
      </c>
      <c r="AK2" s="15"/>
    </row>
    <row r="3" spans="1:37" ht="23.25" thickBot="1">
      <c r="A3" s="823" t="s">
        <v>5</v>
      </c>
      <c r="B3" s="823"/>
      <c r="C3" s="15"/>
      <c r="D3" s="36" t="s">
        <v>188</v>
      </c>
      <c r="E3" s="15"/>
      <c r="F3" s="37" t="s">
        <v>71</v>
      </c>
      <c r="G3" s="28">
        <v>0.02</v>
      </c>
      <c r="H3" s="29">
        <v>2</v>
      </c>
      <c r="I3" s="273">
        <f>حکم!B6*محاسبات!B4</f>
        <v>0</v>
      </c>
      <c r="J3" s="268" t="s">
        <v>7</v>
      </c>
      <c r="K3" s="265">
        <v>2</v>
      </c>
      <c r="L3" s="30">
        <v>2600</v>
      </c>
      <c r="M3" s="20">
        <f>IF(K3=محاسبات!E148,L3,0)</f>
        <v>0</v>
      </c>
      <c r="N3" s="34">
        <f>IF(F4='کاربرگ ورود اطلاعات'!I5,0,0)</f>
        <v>0</v>
      </c>
      <c r="O3" s="19">
        <f>IF(F6='کاربرگ ورود اطلاعات'!I6,0,0)</f>
        <v>0</v>
      </c>
      <c r="P3" s="20">
        <f t="shared" si="0"/>
        <v>0</v>
      </c>
      <c r="Q3" s="237">
        <f>IF(F4='کاربرگ ورود اطلاعات'!I5,0,0)</f>
        <v>0</v>
      </c>
      <c r="R3" s="235">
        <f>IF(F6='کاربرگ ورود اطلاعات'!I6,0,0)</f>
        <v>0</v>
      </c>
      <c r="S3" s="66">
        <f t="shared" si="1"/>
        <v>0</v>
      </c>
      <c r="U3" s="1">
        <v>24</v>
      </c>
      <c r="AK3" s="15"/>
    </row>
    <row r="4" spans="1:37" ht="23.25" thickBot="1">
      <c r="A4" s="38" t="s">
        <v>3</v>
      </c>
      <c r="B4" s="30">
        <v>1695</v>
      </c>
      <c r="C4" s="15"/>
      <c r="D4" s="39" t="s">
        <v>153</v>
      </c>
      <c r="E4" s="133">
        <f>B7*25%</f>
        <v>2807500</v>
      </c>
      <c r="F4" s="40" t="s">
        <v>72</v>
      </c>
      <c r="G4" s="28">
        <v>0.03</v>
      </c>
      <c r="H4" s="29">
        <v>3</v>
      </c>
      <c r="I4" s="273">
        <f>حکم!B7*محاسبات!B4</f>
        <v>5542650</v>
      </c>
      <c r="J4" s="268" t="s">
        <v>8</v>
      </c>
      <c r="K4" s="265">
        <v>3</v>
      </c>
      <c r="L4" s="30">
        <v>2800</v>
      </c>
      <c r="M4" s="20">
        <f>IF(K4=محاسبات!E148,L4,0)</f>
        <v>0</v>
      </c>
      <c r="N4" s="34">
        <f>IF(F4='کاربرگ ورود اطلاعات'!I5,0,0)</f>
        <v>0</v>
      </c>
      <c r="O4" s="19">
        <f>IF(F7='کاربرگ ورود اطلاعات'!I6,0,0)</f>
        <v>0</v>
      </c>
      <c r="P4" s="20">
        <f t="shared" si="0"/>
        <v>0</v>
      </c>
      <c r="Q4" s="237">
        <f>IF(F4='کاربرگ ورود اطلاعات'!I5,1,0)</f>
        <v>0</v>
      </c>
      <c r="R4" s="235">
        <f>IF(F7='کاربرگ ورود اطلاعات'!I6,1,0)</f>
        <v>0</v>
      </c>
      <c r="S4" s="66">
        <f t="shared" si="1"/>
        <v>0</v>
      </c>
      <c r="U4" s="1">
        <v>25</v>
      </c>
      <c r="AK4" s="15"/>
    </row>
    <row r="5" spans="1:37" ht="23.25" thickBot="1">
      <c r="A5" s="38" t="s">
        <v>166</v>
      </c>
      <c r="B5" s="30">
        <f>IF(F1=محاسبات!G134,B4,B12)</f>
        <v>1797</v>
      </c>
      <c r="C5" s="15"/>
      <c r="D5" s="41" t="s">
        <v>154</v>
      </c>
      <c r="E5" s="42">
        <f>IF(D1=محاسبات!E142,0,E4)</f>
        <v>0</v>
      </c>
      <c r="F5" s="43" t="s">
        <v>74</v>
      </c>
      <c r="G5" s="44">
        <v>0.04</v>
      </c>
      <c r="H5" s="29">
        <v>4</v>
      </c>
      <c r="I5" s="273">
        <f>SUM(I2:J4)</f>
        <v>14695650</v>
      </c>
      <c r="J5" s="268" t="s">
        <v>9</v>
      </c>
      <c r="K5" s="265">
        <v>4</v>
      </c>
      <c r="L5" s="30">
        <v>3000</v>
      </c>
      <c r="M5" s="20">
        <f>IF(K5=محاسبات!E148,L5,0)</f>
        <v>0</v>
      </c>
      <c r="N5" s="34">
        <f>IF(F4='کاربرگ ورود اطلاعات'!I5,1,0)</f>
        <v>0</v>
      </c>
      <c r="O5" s="19">
        <f>IF(F8='کاربرگ ورود اطلاعات'!I6,1,0)</f>
        <v>0</v>
      </c>
      <c r="P5" s="20">
        <f t="shared" si="0"/>
        <v>0</v>
      </c>
      <c r="Q5" s="237">
        <f>IF(F4='کاربرگ ورود اطلاعات'!I5,1,0)</f>
        <v>0</v>
      </c>
      <c r="R5" s="235">
        <f>IF(F8='کاربرگ ورود اطلاعات'!I6,1,0)</f>
        <v>0</v>
      </c>
      <c r="S5" s="66">
        <f t="shared" si="1"/>
        <v>0</v>
      </c>
      <c r="U5" s="1">
        <v>26</v>
      </c>
      <c r="AK5" s="15"/>
    </row>
    <row r="6" spans="1:37">
      <c r="A6" s="38" t="s">
        <v>4</v>
      </c>
      <c r="B6" s="134">
        <v>10350000</v>
      </c>
      <c r="F6" s="45" t="s">
        <v>75</v>
      </c>
      <c r="G6" s="44">
        <v>0.05</v>
      </c>
      <c r="H6" s="29">
        <v>5</v>
      </c>
      <c r="I6" s="273">
        <f>محاسبات!E134</f>
        <v>0</v>
      </c>
      <c r="J6" s="268" t="s">
        <v>10</v>
      </c>
      <c r="K6" s="265">
        <v>5</v>
      </c>
      <c r="L6" s="30">
        <v>3200</v>
      </c>
      <c r="M6" s="20">
        <f>IF(K6=محاسبات!E148,L6,0)</f>
        <v>0</v>
      </c>
      <c r="N6" s="34">
        <f>IF(F3='کاربرگ ورود اطلاعات'!I5,1,0)</f>
        <v>1</v>
      </c>
      <c r="O6" s="19">
        <f>IF(F5='کاربرگ ورود اطلاعات'!I6,1,0)</f>
        <v>0</v>
      </c>
      <c r="P6" s="20">
        <f t="shared" si="0"/>
        <v>0</v>
      </c>
      <c r="Q6" s="237">
        <f>IF(F3='کاربرگ ورود اطلاعات'!I5,1,0)</f>
        <v>1</v>
      </c>
      <c r="R6" s="235">
        <f>IF(F5='کاربرگ ورود اطلاعات'!I6,1,0)</f>
        <v>0</v>
      </c>
      <c r="S6" s="66">
        <f t="shared" si="1"/>
        <v>0</v>
      </c>
      <c r="U6" s="1">
        <v>28</v>
      </c>
      <c r="AK6" s="15"/>
    </row>
    <row r="7" spans="1:37">
      <c r="A7" s="38" t="s">
        <v>164</v>
      </c>
      <c r="B7" s="134">
        <v>11230000</v>
      </c>
      <c r="F7" s="45" t="s">
        <v>76</v>
      </c>
      <c r="G7" s="44">
        <v>0.06</v>
      </c>
      <c r="H7" s="29">
        <v>6</v>
      </c>
      <c r="I7" s="273">
        <f>حکم!B10*محاسبات!B4</f>
        <v>2542500</v>
      </c>
      <c r="J7" s="268" t="s">
        <v>11</v>
      </c>
      <c r="K7" s="265">
        <v>6</v>
      </c>
      <c r="L7" s="30">
        <v>3400</v>
      </c>
      <c r="M7" s="20">
        <f>IF(K7=محاسبات!E148,L7,0)</f>
        <v>0</v>
      </c>
      <c r="N7" s="34">
        <f>IF(F3='کاربرگ ورود اطلاعات'!I5,0,0)</f>
        <v>0</v>
      </c>
      <c r="O7" s="19">
        <f>IF(F6='کاربرگ ورود اطلاعات'!I6,0,0)</f>
        <v>0</v>
      </c>
      <c r="P7" s="20">
        <f t="shared" si="0"/>
        <v>0</v>
      </c>
      <c r="Q7" s="237">
        <f>IF(F3='کاربرگ ورود اطلاعات'!I5,0,0)</f>
        <v>0</v>
      </c>
      <c r="R7" s="235">
        <f>IF(F6='کاربرگ ورود اطلاعات'!I6,0,0)</f>
        <v>0</v>
      </c>
      <c r="S7" s="66">
        <f t="shared" si="1"/>
        <v>0</v>
      </c>
      <c r="AK7" s="15"/>
    </row>
    <row r="8" spans="1:37" ht="23.25" thickBot="1">
      <c r="A8" s="38" t="s">
        <v>40</v>
      </c>
      <c r="B8" s="134">
        <v>2602000</v>
      </c>
      <c r="F8" s="48" t="s">
        <v>97</v>
      </c>
      <c r="G8" s="44">
        <v>7.0000000000000007E-2</v>
      </c>
      <c r="H8" s="29">
        <v>7</v>
      </c>
      <c r="I8" s="274">
        <f>E92</f>
        <v>0</v>
      </c>
      <c r="J8" s="269" t="s">
        <v>12</v>
      </c>
      <c r="K8" s="265">
        <v>7</v>
      </c>
      <c r="L8" s="30">
        <v>3600</v>
      </c>
      <c r="M8" s="20">
        <f>IF(K8=محاسبات!E148,L8,0)</f>
        <v>0</v>
      </c>
      <c r="N8" s="34">
        <f>IF(F3='کاربرگ ورود اطلاعات'!I5,0,0)</f>
        <v>0</v>
      </c>
      <c r="O8" s="19">
        <f>IF(F7='کاربرگ ورود اطلاعات'!I6,0,0)</f>
        <v>0</v>
      </c>
      <c r="P8" s="20">
        <f t="shared" si="0"/>
        <v>0</v>
      </c>
      <c r="Q8" s="237">
        <f>IF(F3='کاربرگ ورود اطلاعات'!I5,1,0)</f>
        <v>1</v>
      </c>
      <c r="R8" s="235">
        <f>IF(F7='کاربرگ ورود اطلاعات'!I6,1,0)</f>
        <v>0</v>
      </c>
      <c r="S8" s="66">
        <f t="shared" si="1"/>
        <v>0</v>
      </c>
      <c r="AK8" s="15"/>
    </row>
    <row r="9" spans="1:37" ht="23.25" thickBot="1">
      <c r="A9" s="108" t="s">
        <v>189</v>
      </c>
      <c r="B9" s="206">
        <f>150*B5</f>
        <v>269550</v>
      </c>
      <c r="C9" s="205" t="s">
        <v>244</v>
      </c>
      <c r="D9" s="98">
        <f>IF(F1=محاسبات!G134,1,0)</f>
        <v>0</v>
      </c>
      <c r="E9" s="98">
        <f>IF(F2=محاسبات!G134,1,0)</f>
        <v>1</v>
      </c>
      <c r="F9" s="15"/>
      <c r="G9" s="28">
        <v>0.08</v>
      </c>
      <c r="H9" s="29">
        <v>8</v>
      </c>
      <c r="I9" s="274">
        <f>'کاربرگ ورود اطلاعات'!I19*SUM(محاسبات!I5:I6)</f>
        <v>0</v>
      </c>
      <c r="J9" s="269" t="s">
        <v>13</v>
      </c>
      <c r="K9" s="265">
        <v>8</v>
      </c>
      <c r="L9" s="30">
        <v>3800</v>
      </c>
      <c r="M9" s="20">
        <f>IF(K9=محاسبات!E148,L9,0)</f>
        <v>3800</v>
      </c>
      <c r="N9" s="49">
        <f>IF(F3='کاربرگ ورود اطلاعات'!I5,0,0)</f>
        <v>0</v>
      </c>
      <c r="O9" s="50">
        <f>IF(F8='کاربرگ ورود اطلاعات'!I6,0,0)</f>
        <v>0</v>
      </c>
      <c r="P9" s="51">
        <f t="shared" si="0"/>
        <v>0</v>
      </c>
      <c r="Q9" s="49">
        <f>IF(F3='کاربرگ ورود اطلاعات'!I5,0,0)</f>
        <v>0</v>
      </c>
      <c r="R9" s="50">
        <f>IF(F8='کاربرگ ورود اطلاعات'!I6,0,0)</f>
        <v>0</v>
      </c>
      <c r="S9" s="264">
        <f t="shared" si="1"/>
        <v>0</v>
      </c>
      <c r="AK9" s="15"/>
    </row>
    <row r="10" spans="1:37" ht="23.25" thickBot="1">
      <c r="A10" s="38" t="s">
        <v>50</v>
      </c>
      <c r="B10" s="206">
        <v>445000</v>
      </c>
      <c r="C10" s="205" t="s">
        <v>245</v>
      </c>
      <c r="D10" s="98">
        <f>IF(Sheet1!F173&gt;50000000,1,0)</f>
        <v>0</v>
      </c>
      <c r="E10" s="98">
        <f>IF(Sheet1!F173&gt;50000000,1,0)</f>
        <v>0</v>
      </c>
      <c r="F10" s="15"/>
      <c r="G10" s="28">
        <v>0.09</v>
      </c>
      <c r="H10" s="29">
        <v>9</v>
      </c>
      <c r="I10" s="274">
        <f>'کاربرگ ورود اطلاعات'!I20*SUM(محاسبات!I5:I6)</f>
        <v>0</v>
      </c>
      <c r="J10" s="269" t="s">
        <v>14</v>
      </c>
      <c r="K10" s="265">
        <v>9</v>
      </c>
      <c r="L10" s="30">
        <v>4000</v>
      </c>
      <c r="M10" s="20">
        <f>IF(K10=محاسبات!E148,L10,0)</f>
        <v>0</v>
      </c>
      <c r="N10" s="830" t="s">
        <v>187</v>
      </c>
      <c r="O10" s="831"/>
      <c r="P10" s="54">
        <f>SUM(P2:P9)</f>
        <v>0</v>
      </c>
      <c r="Q10" s="830" t="s">
        <v>81</v>
      </c>
      <c r="R10" s="831"/>
      <c r="S10" s="54">
        <f>SUM(S2:S9)</f>
        <v>0</v>
      </c>
      <c r="AK10" s="15"/>
    </row>
    <row r="11" spans="1:37" ht="23.25" thickBot="1">
      <c r="A11" s="38" t="s">
        <v>51</v>
      </c>
      <c r="B11" s="206">
        <v>2000000</v>
      </c>
      <c r="C11" s="205"/>
      <c r="D11" s="98">
        <f>D9+D10</f>
        <v>0</v>
      </c>
      <c r="E11" s="98">
        <f>E9+E10</f>
        <v>1</v>
      </c>
      <c r="F11" s="15"/>
      <c r="G11" s="28">
        <v>0.1</v>
      </c>
      <c r="H11" s="29">
        <v>10</v>
      </c>
      <c r="I11" s="274"/>
      <c r="J11" s="269" t="s">
        <v>15</v>
      </c>
      <c r="K11" s="265">
        <v>10</v>
      </c>
      <c r="L11" s="30">
        <v>4200</v>
      </c>
      <c r="M11" s="20">
        <f>IF(K11=محاسبات!E148,L11,0)</f>
        <v>0</v>
      </c>
      <c r="N11" s="837" t="s">
        <v>178</v>
      </c>
      <c r="O11" s="838"/>
      <c r="P11" s="56">
        <f>P10*810</f>
        <v>0</v>
      </c>
      <c r="Q11" s="832" t="s">
        <v>101</v>
      </c>
      <c r="R11" s="833"/>
      <c r="S11" s="26">
        <f>'کاربرگ ورود اطلاعات'!I7</f>
        <v>0</v>
      </c>
      <c r="AK11" s="15"/>
    </row>
    <row r="12" spans="1:37">
      <c r="A12" s="38" t="s">
        <v>165</v>
      </c>
      <c r="B12" s="57">
        <v>1797</v>
      </c>
      <c r="C12" s="98">
        <f>D12+E12</f>
        <v>1797</v>
      </c>
      <c r="D12" s="98">
        <f>IF(D11&gt;0,B4,0)</f>
        <v>0</v>
      </c>
      <c r="E12" s="98">
        <f>IF(E11&gt;0,B12,0)</f>
        <v>1797</v>
      </c>
      <c r="F12" s="15"/>
      <c r="G12" s="28">
        <v>0.11</v>
      </c>
      <c r="H12" s="29">
        <v>11</v>
      </c>
      <c r="I12" s="273">
        <f>محاسبات!F128*B4</f>
        <v>0</v>
      </c>
      <c r="J12" s="268" t="s">
        <v>16</v>
      </c>
      <c r="K12" s="265">
        <v>11</v>
      </c>
      <c r="L12" s="30">
        <v>4400</v>
      </c>
      <c r="M12" s="19">
        <f>IF(K12=محاسبات!E148,L12,0)</f>
        <v>0</v>
      </c>
      <c r="N12" s="15"/>
      <c r="O12" s="15"/>
      <c r="P12" s="15"/>
      <c r="Q12" s="834" t="s">
        <v>102</v>
      </c>
      <c r="R12" s="823"/>
      <c r="S12" s="35">
        <v>210</v>
      </c>
      <c r="AK12" s="15"/>
    </row>
    <row r="13" spans="1:37" ht="23.25" thickBot="1">
      <c r="A13" s="58"/>
      <c r="B13" s="47"/>
      <c r="C13" s="283"/>
      <c r="F13" s="15"/>
      <c r="G13" s="28">
        <v>0.12</v>
      </c>
      <c r="H13" s="29">
        <v>12</v>
      </c>
      <c r="I13" s="273">
        <f>IF(D1=محاسبات!E142,0,B6*25%)</f>
        <v>0</v>
      </c>
      <c r="J13" s="268" t="s">
        <v>17</v>
      </c>
      <c r="K13" s="265">
        <v>12</v>
      </c>
      <c r="L13" s="30">
        <v>4600</v>
      </c>
      <c r="M13" s="19">
        <f>IF(K13=محاسبات!E148,L13,0)</f>
        <v>0</v>
      </c>
      <c r="N13" s="15"/>
      <c r="O13" s="15"/>
      <c r="P13" s="15"/>
      <c r="Q13" s="835" t="s">
        <v>103</v>
      </c>
      <c r="R13" s="836"/>
      <c r="S13" s="229">
        <f>S10*S11*S12</f>
        <v>0</v>
      </c>
      <c r="AK13" s="15"/>
    </row>
    <row r="14" spans="1:37" ht="23.25" thickBot="1">
      <c r="A14" s="99" t="s">
        <v>296</v>
      </c>
      <c r="B14" s="284">
        <f>IF(F2=محاسبات!G134,-22%*(Sheet1!F173/1000000)+11,0)</f>
        <v>7.3546176000000001</v>
      </c>
      <c r="C14" s="47"/>
      <c r="F14" s="15"/>
      <c r="G14" s="28">
        <v>0.13</v>
      </c>
      <c r="H14" s="29">
        <v>13</v>
      </c>
      <c r="I14" s="274">
        <f>F17*B4</f>
        <v>0</v>
      </c>
      <c r="J14" s="269" t="s">
        <v>18</v>
      </c>
      <c r="K14" s="265">
        <v>13</v>
      </c>
      <c r="L14" s="30">
        <v>4800</v>
      </c>
      <c r="M14" s="19">
        <f>IF(K14=محاسبات!E148,L14,0)</f>
        <v>0</v>
      </c>
      <c r="N14" s="15"/>
      <c r="O14" s="15"/>
      <c r="P14" s="15"/>
      <c r="Q14" s="15"/>
      <c r="R14" s="15"/>
      <c r="S14" s="15"/>
      <c r="AK14" s="15"/>
    </row>
    <row r="15" spans="1:37" ht="22.5" customHeight="1">
      <c r="A15" s="102"/>
      <c r="B15" s="285">
        <f>-22%*(Sheet1!F173/1000000)+11</f>
        <v>7.3546176000000001</v>
      </c>
      <c r="C15" s="47"/>
      <c r="D15" s="24" t="s">
        <v>94</v>
      </c>
      <c r="E15" s="25">
        <v>130</v>
      </c>
      <c r="F15" s="26">
        <f>E15*'کاربرگ ورود اطلاعات'!I15</f>
        <v>0</v>
      </c>
      <c r="G15" s="44">
        <v>0.14000000000000001</v>
      </c>
      <c r="H15" s="29">
        <v>14</v>
      </c>
      <c r="I15" s="270">
        <f>D88*B4</f>
        <v>0</v>
      </c>
      <c r="J15" s="268" t="s">
        <v>253</v>
      </c>
      <c r="K15" s="265">
        <v>14</v>
      </c>
      <c r="L15" s="30">
        <v>5000</v>
      </c>
      <c r="M15" s="19">
        <f>IF(K15=محاسبات!E148,L15,0)</f>
        <v>0</v>
      </c>
      <c r="N15" s="15"/>
      <c r="O15" s="15"/>
      <c r="P15" s="15"/>
      <c r="Q15" s="15"/>
      <c r="R15" s="15"/>
      <c r="S15" s="15"/>
      <c r="AK15" s="15"/>
    </row>
    <row r="16" spans="1:37" ht="23.25" thickBot="1">
      <c r="A16" s="102"/>
      <c r="B16" s="285">
        <f>(B14+B15)/2</f>
        <v>7.3546176000000001</v>
      </c>
      <c r="C16" s="47"/>
      <c r="D16" s="34" t="s">
        <v>95</v>
      </c>
      <c r="E16" s="19">
        <f>'کاربرگ ورود اطلاعات'!I16/12</f>
        <v>0</v>
      </c>
      <c r="F16" s="62">
        <f>E16*E15</f>
        <v>0</v>
      </c>
      <c r="G16" s="44">
        <v>0.15</v>
      </c>
      <c r="H16" s="29">
        <v>15</v>
      </c>
      <c r="I16" s="273">
        <f>حکم!B19*محاسبات!B4</f>
        <v>0</v>
      </c>
      <c r="J16" s="268" t="s">
        <v>19</v>
      </c>
      <c r="K16" s="265">
        <v>15</v>
      </c>
      <c r="L16" s="30">
        <v>5200</v>
      </c>
      <c r="M16" s="19">
        <f>IF(K16=محاسبات!E148,L16,0)</f>
        <v>0</v>
      </c>
      <c r="N16" s="15"/>
      <c r="O16" s="15"/>
      <c r="P16" s="15"/>
      <c r="Q16" s="15"/>
      <c r="R16" s="15"/>
      <c r="S16" s="15"/>
      <c r="AD16" s="15"/>
      <c r="AE16" s="15"/>
      <c r="AF16" s="15"/>
      <c r="AG16" s="15"/>
      <c r="AH16" s="15"/>
      <c r="AI16" s="15"/>
      <c r="AJ16" s="15"/>
      <c r="AK16" s="15"/>
    </row>
    <row r="17" spans="1:37" ht="23.25" thickBot="1">
      <c r="A17" s="102" t="s">
        <v>297</v>
      </c>
      <c r="B17" s="60">
        <f>IF(B16&lt;0,0,-22%*(Sheet1!F173/1000000)+11)</f>
        <v>7.3546176000000001</v>
      </c>
      <c r="C17" s="47"/>
      <c r="D17" s="841" t="s">
        <v>96</v>
      </c>
      <c r="E17" s="842"/>
      <c r="F17" s="63">
        <f>F15+F16</f>
        <v>0</v>
      </c>
      <c r="G17" s="44">
        <v>0.16</v>
      </c>
      <c r="H17" s="29">
        <v>16</v>
      </c>
      <c r="I17" s="273">
        <f>حکم!B20*محاسبات!B4</f>
        <v>0</v>
      </c>
      <c r="J17" s="268" t="s">
        <v>63</v>
      </c>
      <c r="K17" s="266">
        <v>16</v>
      </c>
      <c r="L17" s="212">
        <v>5400</v>
      </c>
      <c r="M17" s="50">
        <f>IF(K17=محاسبات!E148,L17,0)</f>
        <v>0</v>
      </c>
      <c r="N17" s="15"/>
      <c r="O17" s="15"/>
      <c r="P17" s="15"/>
      <c r="Q17" s="15"/>
      <c r="R17" s="15"/>
      <c r="S17" s="15"/>
      <c r="AD17" s="15"/>
      <c r="AE17" s="15"/>
      <c r="AF17" s="15"/>
      <c r="AG17" s="15"/>
      <c r="AH17" s="99">
        <v>0</v>
      </c>
      <c r="AI17" s="100">
        <v>0</v>
      </c>
      <c r="AJ17" s="101">
        <f>IF(AH17=محاسبات!G135,AI17,0)</f>
        <v>0</v>
      </c>
      <c r="AK17" s="15"/>
    </row>
    <row r="18" spans="1:37" ht="22.5" customHeight="1">
      <c r="A18" s="31" t="s">
        <v>87</v>
      </c>
      <c r="B18" s="32" t="s">
        <v>1</v>
      </c>
      <c r="C18" s="26"/>
      <c r="D18" s="15"/>
      <c r="E18" s="65">
        <v>0</v>
      </c>
      <c r="F18" s="15"/>
      <c r="G18" s="28">
        <v>0.17</v>
      </c>
      <c r="H18" s="29">
        <v>17</v>
      </c>
      <c r="I18" s="273">
        <f>حکم!B21*محاسبات!B4</f>
        <v>0</v>
      </c>
      <c r="J18" s="268" t="s">
        <v>20</v>
      </c>
      <c r="K18" s="236" t="s">
        <v>67</v>
      </c>
      <c r="L18" s="25">
        <v>0</v>
      </c>
      <c r="M18" s="26">
        <f>IF(K18=محاسبات!E149,L18,0)</f>
        <v>0</v>
      </c>
      <c r="O18" s="843" t="s">
        <v>247</v>
      </c>
      <c r="P18" s="844"/>
      <c r="Q18" s="844"/>
      <c r="R18" s="845"/>
      <c r="S18" s="15"/>
      <c r="T18" s="15"/>
      <c r="U18" s="15"/>
      <c r="V18" s="15"/>
      <c r="W18" s="15"/>
      <c r="X18" s="15"/>
      <c r="Y18" s="15"/>
      <c r="Z18" s="15"/>
      <c r="AA18" s="15"/>
      <c r="AB18" s="15"/>
      <c r="AC18" s="15"/>
      <c r="AD18" s="15"/>
      <c r="AE18" s="15"/>
      <c r="AF18" s="15"/>
      <c r="AG18" s="15"/>
      <c r="AH18" s="102" t="s">
        <v>186</v>
      </c>
      <c r="AI18" s="98">
        <v>18000</v>
      </c>
      <c r="AJ18" s="103">
        <f>IF(AH18=محاسبات!G135,AI18,0)</f>
        <v>0</v>
      </c>
      <c r="AK18" s="15"/>
    </row>
    <row r="19" spans="1:37">
      <c r="A19" s="34" t="s">
        <v>88</v>
      </c>
      <c r="B19" s="30">
        <v>700</v>
      </c>
      <c r="C19" s="66">
        <f>IF(A19='کاربرگ ورود اطلاعات'!F25,B19,0)</f>
        <v>0</v>
      </c>
      <c r="D19" s="61"/>
      <c r="E19" s="67">
        <v>0.2</v>
      </c>
      <c r="F19" s="15"/>
      <c r="G19" s="28">
        <v>0.18</v>
      </c>
      <c r="H19" s="29">
        <v>18</v>
      </c>
      <c r="I19" s="273">
        <f>IF(E18='کاربرگ ورود اطلاعات'!I18,0,'کاربرگ ورود اطلاعات'!I18*محاسبات!I2)</f>
        <v>0</v>
      </c>
      <c r="J19" s="268" t="s">
        <v>21</v>
      </c>
      <c r="K19" s="53" t="s">
        <v>68</v>
      </c>
      <c r="L19" s="30">
        <v>250</v>
      </c>
      <c r="M19" s="66">
        <f>IF(K19=محاسبات!E149,L19,0)</f>
        <v>0</v>
      </c>
      <c r="O19" s="102">
        <f>O23</f>
        <v>5940</v>
      </c>
      <c r="P19" s="30">
        <f>IF(K19=محاسبات!E149,1,0)</f>
        <v>0</v>
      </c>
      <c r="Q19" s="228">
        <v>0.15</v>
      </c>
      <c r="R19" s="66">
        <f>Q19*P19*O19</f>
        <v>0</v>
      </c>
      <c r="S19" s="15"/>
      <c r="T19" s="15"/>
      <c r="U19" s="15"/>
      <c r="V19" s="15"/>
      <c r="W19" s="15"/>
      <c r="X19" s="15"/>
      <c r="Y19" s="15"/>
      <c r="Z19" s="15"/>
      <c r="AA19" s="15"/>
      <c r="AB19" s="15"/>
      <c r="AC19" s="15"/>
      <c r="AD19" s="15"/>
      <c r="AE19" s="15"/>
      <c r="AF19" s="15"/>
      <c r="AG19" s="15"/>
      <c r="AH19" s="97" t="s">
        <v>185</v>
      </c>
      <c r="AI19" s="96">
        <v>18000</v>
      </c>
      <c r="AJ19" s="66">
        <f>IF(AH19=محاسبات!G135,AI19,0)</f>
        <v>0</v>
      </c>
      <c r="AK19" s="15"/>
    </row>
    <row r="20" spans="1:37" ht="23.25" thickBot="1">
      <c r="A20" s="34" t="s">
        <v>89</v>
      </c>
      <c r="B20" s="30">
        <v>1500</v>
      </c>
      <c r="C20" s="66">
        <f>IF(A20='کاربرگ ورود اطلاعات'!F25,B20,0)</f>
        <v>1500</v>
      </c>
      <c r="D20" s="61"/>
      <c r="E20" s="67">
        <v>0.24</v>
      </c>
      <c r="F20" s="15"/>
      <c r="G20" s="28">
        <v>0.19</v>
      </c>
      <c r="H20" s="29">
        <v>19</v>
      </c>
      <c r="I20" s="275">
        <f>محاسبات!E135</f>
        <v>0</v>
      </c>
      <c r="J20" s="271" t="s">
        <v>22</v>
      </c>
      <c r="K20" s="53" t="s">
        <v>64</v>
      </c>
      <c r="L20" s="30">
        <v>600</v>
      </c>
      <c r="M20" s="66">
        <f>IF(K20=محاسبات!E149,L20,0)</f>
        <v>0</v>
      </c>
      <c r="O20" s="102">
        <f>O23</f>
        <v>5940</v>
      </c>
      <c r="P20" s="30">
        <f>IF(K20=محاسبات!E149,1,0)</f>
        <v>0</v>
      </c>
      <c r="Q20" s="228">
        <v>0.25</v>
      </c>
      <c r="R20" s="66">
        <f t="shared" ref="R20:R22" si="2">Q20*P20*O20</f>
        <v>0</v>
      </c>
      <c r="S20" s="15"/>
      <c r="T20" s="15"/>
      <c r="U20" s="15"/>
      <c r="V20" s="15"/>
      <c r="W20" s="15"/>
      <c r="X20" s="15"/>
      <c r="Y20" s="15"/>
      <c r="Z20" s="15"/>
      <c r="AA20" s="15"/>
      <c r="AB20" s="15"/>
      <c r="AC20" s="15"/>
      <c r="AG20" s="15"/>
      <c r="AH20" s="104" t="s">
        <v>184</v>
      </c>
      <c r="AI20" s="96">
        <v>18000</v>
      </c>
      <c r="AJ20" s="66">
        <f>IF(AH20=محاسبات!G135,AI20,0)</f>
        <v>0</v>
      </c>
      <c r="AK20" s="15"/>
    </row>
    <row r="21" spans="1:37" ht="23.25" thickBot="1">
      <c r="A21" s="34" t="s">
        <v>90</v>
      </c>
      <c r="B21" s="30">
        <v>2000</v>
      </c>
      <c r="C21" s="66">
        <f>IF(A21='کاربرگ ورود اطلاعات'!F25,B21,0)</f>
        <v>0</v>
      </c>
      <c r="D21" s="61"/>
      <c r="E21" s="67">
        <v>0.25</v>
      </c>
      <c r="F21" s="15"/>
      <c r="G21" s="28">
        <v>0.2</v>
      </c>
      <c r="H21" s="29">
        <v>20</v>
      </c>
      <c r="I21" s="276">
        <f>SUM(I5:I20)</f>
        <v>17238150</v>
      </c>
      <c r="J21" s="243" t="s">
        <v>9</v>
      </c>
      <c r="K21" s="53" t="s">
        <v>65</v>
      </c>
      <c r="L21" s="30">
        <v>1050</v>
      </c>
      <c r="M21" s="66">
        <f>IF(K21=محاسبات!E149,L21,0)</f>
        <v>0</v>
      </c>
      <c r="O21" s="102">
        <f>O23</f>
        <v>5940</v>
      </c>
      <c r="P21" s="30">
        <f>IF(K21=محاسبات!E149,1,0)</f>
        <v>0</v>
      </c>
      <c r="Q21" s="228">
        <v>0.35</v>
      </c>
      <c r="R21" s="66">
        <f t="shared" si="2"/>
        <v>0</v>
      </c>
      <c r="S21" s="15"/>
      <c r="T21" s="15"/>
      <c r="U21" s="15"/>
      <c r="V21" s="15"/>
      <c r="W21" s="15"/>
      <c r="X21" s="15"/>
      <c r="Y21" s="15"/>
      <c r="Z21" s="15"/>
      <c r="AA21" s="15"/>
      <c r="AB21" s="15"/>
      <c r="AC21" s="15"/>
      <c r="AG21" s="15"/>
      <c r="AH21" s="97" t="s">
        <v>169</v>
      </c>
      <c r="AI21" s="96">
        <v>17000</v>
      </c>
      <c r="AJ21" s="66">
        <f>IF(AH21=محاسبات!G135,AI21,0)</f>
        <v>0</v>
      </c>
      <c r="AK21" s="15"/>
    </row>
    <row r="22" spans="1:37" ht="23.25" thickBot="1">
      <c r="A22" s="839" t="s">
        <v>91</v>
      </c>
      <c r="B22" s="840"/>
      <c r="C22" s="68">
        <f>SUM(C19:C21)</f>
        <v>1500</v>
      </c>
      <c r="D22" s="61"/>
      <c r="E22" s="67">
        <v>0.26</v>
      </c>
      <c r="F22" s="15"/>
      <c r="G22" s="28">
        <v>0.21</v>
      </c>
      <c r="H22" s="239">
        <v>21</v>
      </c>
      <c r="I22" s="277"/>
      <c r="J22" s="240"/>
      <c r="K22" s="238" t="s">
        <v>69</v>
      </c>
      <c r="L22" s="213">
        <v>1600</v>
      </c>
      <c r="M22" s="60">
        <f>IF(K22=محاسبات!E149,L22,0)</f>
        <v>1600</v>
      </c>
      <c r="O22" s="102">
        <f>O23</f>
        <v>5940</v>
      </c>
      <c r="P22" s="30">
        <f>IF(K22=محاسبات!E149,1,0)</f>
        <v>1</v>
      </c>
      <c r="Q22" s="228">
        <v>0.5</v>
      </c>
      <c r="R22" s="66">
        <f t="shared" si="2"/>
        <v>2970</v>
      </c>
      <c r="S22" s="15"/>
      <c r="T22" s="15"/>
      <c r="U22" s="15"/>
      <c r="V22" s="15"/>
      <c r="W22" s="15"/>
      <c r="X22" s="15"/>
      <c r="Y22" s="15"/>
      <c r="Z22" s="15"/>
      <c r="AA22" s="15"/>
      <c r="AB22" s="15"/>
      <c r="AC22" s="15"/>
      <c r="AG22" s="15"/>
      <c r="AH22" s="97" t="s">
        <v>170</v>
      </c>
      <c r="AI22" s="96">
        <v>17000</v>
      </c>
      <c r="AJ22" s="66">
        <f>IF(AH22=محاسبات!G135,AI22,0)</f>
        <v>0</v>
      </c>
      <c r="AK22" s="15"/>
    </row>
    <row r="23" spans="1:37" ht="23.25" thickBot="1">
      <c r="A23" s="47"/>
      <c r="B23" s="61"/>
      <c r="C23" s="47"/>
      <c r="D23" s="61"/>
      <c r="E23" s="69">
        <v>0.28000000000000003</v>
      </c>
      <c r="F23" s="15"/>
      <c r="G23" s="28">
        <v>0.22</v>
      </c>
      <c r="H23" s="239">
        <v>22</v>
      </c>
      <c r="I23" s="241"/>
      <c r="J23" s="242"/>
      <c r="K23" s="848" t="s">
        <v>257</v>
      </c>
      <c r="L23" s="849"/>
      <c r="M23" s="230">
        <f>SUM(M2:M22,Q24)</f>
        <v>5400</v>
      </c>
      <c r="N23" s="1">
        <f>M23*10%</f>
        <v>540</v>
      </c>
      <c r="O23" s="204">
        <f>N23+M23</f>
        <v>5940</v>
      </c>
      <c r="P23" s="846" t="s">
        <v>256</v>
      </c>
      <c r="Q23" s="847"/>
      <c r="R23" s="229">
        <f>SUM(R19:R22,O23)</f>
        <v>8910</v>
      </c>
      <c r="S23" s="15"/>
      <c r="T23" s="15"/>
      <c r="U23" s="15"/>
      <c r="V23" s="15"/>
      <c r="W23" s="15"/>
      <c r="X23" s="15"/>
      <c r="Y23" s="15"/>
      <c r="Z23" s="15"/>
      <c r="AA23" s="15"/>
      <c r="AB23" s="15"/>
      <c r="AC23" s="15"/>
      <c r="AG23" s="15"/>
      <c r="AH23" s="97" t="s">
        <v>171</v>
      </c>
      <c r="AI23" s="96">
        <v>17000</v>
      </c>
      <c r="AJ23" s="66">
        <f>IF(AH23=محاسبات!G135,AI23,0)</f>
        <v>0</v>
      </c>
      <c r="AK23" s="15"/>
    </row>
    <row r="24" spans="1:37" ht="23.25" thickBot="1">
      <c r="A24" s="47"/>
      <c r="B24" s="61"/>
      <c r="C24" s="47"/>
      <c r="D24" s="70" t="s">
        <v>21</v>
      </c>
      <c r="E24" s="71">
        <f>IF(E18='کاربرگ ورود اطلاعات'!I18,0,'کاربرگ ورود اطلاعات'!I18*حکم!C5)</f>
        <v>0</v>
      </c>
      <c r="F24" s="15"/>
      <c r="G24" s="28">
        <v>0.23</v>
      </c>
      <c r="H24" s="29">
        <v>23</v>
      </c>
      <c r="I24" s="72"/>
      <c r="J24" s="73"/>
      <c r="K24" s="828" t="s">
        <v>7</v>
      </c>
      <c r="L24" s="829"/>
      <c r="M24" s="231">
        <f>IF(محاسبات!E144&gt;5000,5000,محاسبات!E144)</f>
        <v>0</v>
      </c>
      <c r="O24" s="136"/>
      <c r="P24" s="58"/>
      <c r="Q24" s="214"/>
      <c r="R24" s="15"/>
      <c r="S24" s="15"/>
      <c r="T24" s="15"/>
      <c r="U24" s="15"/>
      <c r="V24" s="15"/>
      <c r="W24" s="15"/>
      <c r="X24" s="15"/>
      <c r="Y24" s="15"/>
      <c r="Z24" s="15"/>
      <c r="AA24" s="15"/>
      <c r="AB24" s="15"/>
      <c r="AC24" s="15"/>
      <c r="AG24" s="15"/>
      <c r="AH24" s="97" t="s">
        <v>172</v>
      </c>
      <c r="AI24" s="96">
        <v>16000</v>
      </c>
      <c r="AJ24" s="66">
        <f>IF(AH24=محاسبات!G135,AI24,0)</f>
        <v>0</v>
      </c>
      <c r="AK24" s="15"/>
    </row>
    <row r="25" spans="1:37" ht="23.25" thickBot="1">
      <c r="A25" s="173" t="s">
        <v>235</v>
      </c>
      <c r="B25" s="184">
        <f>'فیش حقوقی'!B15-'فیش حقوقی'!E15</f>
        <v>32345152.54483531</v>
      </c>
      <c r="C25" s="47"/>
      <c r="D25" s="61"/>
      <c r="E25" s="47"/>
      <c r="F25" s="15"/>
      <c r="G25" s="28">
        <v>0.24</v>
      </c>
      <c r="H25" s="29">
        <v>24</v>
      </c>
      <c r="I25" s="74"/>
      <c r="J25" s="73"/>
      <c r="K25" s="826" t="s">
        <v>179</v>
      </c>
      <c r="L25" s="827"/>
      <c r="M25" s="75">
        <f>IF(F2=محاسبات!G134,R25,R26)</f>
        <v>5400</v>
      </c>
      <c r="N25" s="15"/>
      <c r="O25" s="832" t="s">
        <v>258</v>
      </c>
      <c r="P25" s="833"/>
      <c r="Q25" s="833"/>
      <c r="R25" s="26">
        <f>IF(F1=محاسبات!E146,R23,M23)</f>
        <v>5400</v>
      </c>
      <c r="S25" s="15"/>
      <c r="T25" s="15"/>
      <c r="U25" s="15"/>
      <c r="V25" s="15"/>
      <c r="W25" s="15"/>
      <c r="X25" s="15"/>
      <c r="Y25" s="15"/>
      <c r="Z25" s="15"/>
      <c r="AA25" s="15"/>
      <c r="AB25" s="15"/>
      <c r="AC25" s="15"/>
      <c r="AG25" s="15"/>
      <c r="AH25" s="97" t="s">
        <v>173</v>
      </c>
      <c r="AI25" s="96">
        <v>16000</v>
      </c>
      <c r="AJ25" s="66">
        <f>IF(AH25=محاسبات!G135,AI25,0)</f>
        <v>0</v>
      </c>
      <c r="AK25" s="15"/>
    </row>
    <row r="26" spans="1:37" ht="23.25" thickBot="1">
      <c r="A26" s="182" t="s">
        <v>180</v>
      </c>
      <c r="B26" s="183">
        <f>IF(Sheet1!F173&lt;50000000,Sheet1!F173*محاسبات!G142%,0)</f>
        <v>1218654.2526259201</v>
      </c>
      <c r="C26" s="47"/>
      <c r="D26" s="201" t="s">
        <v>55</v>
      </c>
      <c r="E26" s="202">
        <f>محاسبات!B137</f>
        <v>620000</v>
      </c>
      <c r="F26" s="15"/>
      <c r="G26" s="76">
        <v>0.25</v>
      </c>
      <c r="H26" s="29">
        <v>25</v>
      </c>
      <c r="I26" s="77"/>
      <c r="J26" s="73"/>
      <c r="K26" s="15"/>
      <c r="L26" s="15"/>
      <c r="M26" s="15"/>
      <c r="N26" s="15"/>
      <c r="O26" s="850" t="s">
        <v>259</v>
      </c>
      <c r="P26" s="851"/>
      <c r="Q26" s="851"/>
      <c r="R26" s="60">
        <f>IF(F1=محاسبات!G134,AJ29,R25)</f>
        <v>5400</v>
      </c>
      <c r="S26" s="15"/>
      <c r="T26" s="15"/>
      <c r="U26" s="15"/>
      <c r="V26" s="15"/>
      <c r="W26" s="15"/>
      <c r="X26" s="15"/>
      <c r="Y26" s="15"/>
      <c r="Z26" s="15"/>
      <c r="AA26" s="15"/>
      <c r="AB26" s="15"/>
      <c r="AC26" s="15"/>
      <c r="AG26" s="15"/>
      <c r="AH26" s="97" t="s">
        <v>174</v>
      </c>
      <c r="AI26" s="96">
        <v>15000</v>
      </c>
      <c r="AJ26" s="66">
        <f>IF(AH26=محاسبات!G135,AI26,0)</f>
        <v>0</v>
      </c>
      <c r="AK26" s="15"/>
    </row>
    <row r="27" spans="1:37">
      <c r="A27" s="47"/>
      <c r="B27" s="61"/>
      <c r="C27" s="47"/>
      <c r="D27" s="46" t="s">
        <v>56</v>
      </c>
      <c r="E27" s="52">
        <f>محاسبات!B138</f>
        <v>320000</v>
      </c>
      <c r="F27" s="15"/>
      <c r="G27" s="15"/>
      <c r="H27" s="29">
        <v>26</v>
      </c>
      <c r="I27" s="77"/>
      <c r="K27" s="15"/>
      <c r="L27" s="15"/>
      <c r="M27" s="15"/>
      <c r="N27" s="15"/>
      <c r="O27" s="15"/>
      <c r="P27" s="15"/>
      <c r="Q27" s="15"/>
      <c r="R27" s="15"/>
      <c r="S27" s="15"/>
      <c r="T27" s="15"/>
      <c r="U27" s="15"/>
      <c r="V27" s="15"/>
      <c r="W27" s="15"/>
      <c r="X27" s="15"/>
      <c r="Y27" s="15"/>
      <c r="Z27" s="15"/>
      <c r="AA27" s="15"/>
      <c r="AB27" s="15"/>
      <c r="AC27" s="15"/>
      <c r="AG27" s="15"/>
      <c r="AH27" s="97" t="s">
        <v>175</v>
      </c>
      <c r="AI27" s="96">
        <v>15000</v>
      </c>
      <c r="AJ27" s="66">
        <f>IF(AH27=محاسبات!G135,AI27,0)</f>
        <v>0</v>
      </c>
      <c r="AK27" s="15"/>
    </row>
    <row r="28" spans="1:37" ht="23.25" thickBot="1">
      <c r="D28" s="46"/>
      <c r="E28" s="52">
        <v>1</v>
      </c>
      <c r="G28" s="15"/>
      <c r="H28" s="29">
        <v>27</v>
      </c>
      <c r="I28" s="80"/>
      <c r="K28" s="15"/>
      <c r="L28" s="15"/>
      <c r="M28" s="15"/>
      <c r="N28" s="15"/>
      <c r="O28" s="15"/>
      <c r="P28" s="15"/>
      <c r="Q28" s="15"/>
      <c r="R28" s="15"/>
      <c r="S28" s="15"/>
      <c r="T28" s="15"/>
      <c r="U28" s="15"/>
      <c r="V28" s="15"/>
      <c r="W28" s="15"/>
      <c r="X28" s="15"/>
      <c r="Y28" s="15"/>
      <c r="Z28" s="15"/>
      <c r="AA28" s="15"/>
      <c r="AB28" s="15"/>
      <c r="AC28" s="15"/>
      <c r="AG28" s="15"/>
      <c r="AH28" s="78" t="s">
        <v>176</v>
      </c>
      <c r="AI28" s="59">
        <v>14000</v>
      </c>
      <c r="AJ28" s="60">
        <f>IF(AH28=محاسبات!G135,AI28,0)</f>
        <v>0</v>
      </c>
      <c r="AK28" s="15"/>
    </row>
    <row r="29" spans="1:37" ht="23.25" thickBot="1">
      <c r="D29" s="46"/>
      <c r="E29" s="52">
        <v>4</v>
      </c>
      <c r="G29" s="15"/>
      <c r="H29" s="29">
        <v>28</v>
      </c>
      <c r="I29" s="80"/>
      <c r="K29" s="15"/>
      <c r="L29" s="15"/>
      <c r="M29" s="15"/>
      <c r="N29" s="15"/>
      <c r="O29" s="15"/>
      <c r="P29" s="15"/>
      <c r="Q29" s="15"/>
      <c r="R29" s="15"/>
      <c r="S29" s="15"/>
      <c r="T29" s="15"/>
      <c r="U29" s="15"/>
      <c r="V29" s="15"/>
      <c r="W29" s="15"/>
      <c r="X29" s="15"/>
      <c r="Y29" s="15"/>
      <c r="Z29" s="15"/>
      <c r="AA29" s="15"/>
      <c r="AB29" s="15"/>
      <c r="AC29" s="15"/>
      <c r="AG29" s="15"/>
      <c r="AH29" s="824" t="s">
        <v>177</v>
      </c>
      <c r="AI29" s="825"/>
      <c r="AJ29" s="79">
        <f>SUM(AJ17:AJ28)</f>
        <v>0</v>
      </c>
      <c r="AK29" s="15"/>
    </row>
    <row r="30" spans="1:37">
      <c r="A30" s="232" t="s">
        <v>246</v>
      </c>
      <c r="D30" s="46" t="s">
        <v>57</v>
      </c>
      <c r="E30" s="52">
        <f>E28+محاسبات!B136</f>
        <v>1</v>
      </c>
      <c r="G30" s="15"/>
      <c r="H30" s="29">
        <v>29</v>
      </c>
      <c r="I30" s="80"/>
      <c r="J30" s="73"/>
      <c r="K30" s="15"/>
      <c r="L30" s="15"/>
      <c r="M30" s="15"/>
      <c r="N30" s="15"/>
      <c r="O30" s="15"/>
      <c r="P30" s="15"/>
      <c r="Q30" s="15"/>
      <c r="R30" s="15"/>
      <c r="S30" s="15"/>
      <c r="T30" s="15"/>
      <c r="U30" s="15"/>
      <c r="V30" s="15"/>
      <c r="W30" s="15"/>
      <c r="X30" s="15"/>
      <c r="Y30" s="15"/>
      <c r="Z30" s="15"/>
      <c r="AA30" s="15"/>
      <c r="AB30" s="15"/>
      <c r="AC30" s="15"/>
      <c r="AG30" s="15"/>
      <c r="AH30" s="15"/>
      <c r="AI30" s="15"/>
      <c r="AJ30" s="15"/>
      <c r="AK30" s="15"/>
    </row>
    <row r="31" spans="1:37">
      <c r="A31" s="233" t="s">
        <v>260</v>
      </c>
      <c r="D31" s="46" t="s">
        <v>58</v>
      </c>
      <c r="E31" s="55">
        <f>1+محاسبات!B136</f>
        <v>1</v>
      </c>
      <c r="G31" s="15"/>
      <c r="H31" s="29">
        <v>30</v>
      </c>
      <c r="I31" s="80"/>
      <c r="J31" s="73"/>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spans="1:37" ht="23.25" thickBot="1">
      <c r="A32" s="234" t="s">
        <v>261</v>
      </c>
      <c r="D32" s="46" t="s">
        <v>59</v>
      </c>
      <c r="E32" s="52">
        <v>0</v>
      </c>
      <c r="G32" s="15"/>
      <c r="H32" s="29">
        <v>31</v>
      </c>
      <c r="I32" s="80"/>
      <c r="J32" s="73"/>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spans="1:37">
      <c r="A33" s="178"/>
      <c r="B33" s="92"/>
      <c r="D33" s="46" t="s">
        <v>60</v>
      </c>
      <c r="E33" s="55">
        <f>IF(محاسبات!B136+1&gt;محاسبات!B139,محاسبات!B139,محاسبات!B136+1)</f>
        <v>1</v>
      </c>
      <c r="G33" s="15"/>
      <c r="H33" s="29">
        <v>32</v>
      </c>
      <c r="I33" s="72"/>
      <c r="J33" s="73"/>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spans="1:37">
      <c r="D34" s="200" t="s">
        <v>241</v>
      </c>
      <c r="E34" s="203">
        <f>IF(F1=محاسبات!B135,(1+محاسبات!B136)*محاسبات!B137,0)</f>
        <v>620000</v>
      </c>
      <c r="G34" s="15"/>
      <c r="H34" s="29">
        <v>33</v>
      </c>
      <c r="I34" s="72"/>
      <c r="J34" s="82" t="s">
        <v>77</v>
      </c>
      <c r="K34" s="83">
        <f>IF(F3='کاربرگ ورود اطلاعات'!I5,1,0)</f>
        <v>1</v>
      </c>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spans="1:37" ht="23.25" thickBot="1">
      <c r="D35" s="204" t="s">
        <v>242</v>
      </c>
      <c r="E35" s="199">
        <f>IF(F1=محاسبات!B135,E33*E27,0)</f>
        <v>320000</v>
      </c>
      <c r="G35" s="15"/>
      <c r="H35" s="29">
        <v>34</v>
      </c>
      <c r="I35" s="72"/>
      <c r="J35" s="82" t="s">
        <v>78</v>
      </c>
      <c r="K35" s="30">
        <f>IF(F5='کاربرگ ورود اطلاعات'!I6,K34*K36,0)</f>
        <v>0</v>
      </c>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spans="1:37" ht="23.25" thickBot="1">
      <c r="G36" s="15"/>
      <c r="H36" s="84">
        <v>35</v>
      </c>
      <c r="I36" s="72"/>
      <c r="J36" s="82" t="s">
        <v>79</v>
      </c>
      <c r="K36" s="30">
        <v>810</v>
      </c>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37" ht="23.25" thickBot="1">
      <c r="G37" s="15"/>
      <c r="H37" s="29">
        <v>36</v>
      </c>
      <c r="I37" s="72"/>
      <c r="J37" s="82" t="s">
        <v>81</v>
      </c>
      <c r="K37" s="19">
        <v>210</v>
      </c>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37">
      <c r="C38" s="167" t="s">
        <v>203</v>
      </c>
      <c r="D38" s="118">
        <v>7.0000000000000007E-2</v>
      </c>
      <c r="E38" s="119">
        <f>SUM(حکم!E5:E7,حکم!E9:E11,حکم!E15,حکم!E19,حکم!E24)</f>
        <v>19619582.40402624</v>
      </c>
      <c r="F38" s="120">
        <f>IF(C38=محاسبات!B134,E38*D38,0)</f>
        <v>1373370.768281837</v>
      </c>
      <c r="G38" s="15"/>
      <c r="H38" s="29">
        <v>37</v>
      </c>
      <c r="I38" s="72"/>
      <c r="J38" s="82" t="s">
        <v>82</v>
      </c>
      <c r="K38" s="19">
        <f>K41*K37</f>
        <v>0</v>
      </c>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spans="1:37" ht="23.25" thickBot="1">
      <c r="C39" s="168" t="s">
        <v>204</v>
      </c>
      <c r="D39" s="121">
        <v>0.09</v>
      </c>
      <c r="E39" s="122">
        <f>E38</f>
        <v>19619582.40402624</v>
      </c>
      <c r="F39" s="123">
        <f>IF(C39=محاسبات!B134,E39*D39,0)</f>
        <v>0</v>
      </c>
      <c r="G39" s="15"/>
      <c r="H39" s="84">
        <v>38</v>
      </c>
      <c r="I39" s="72"/>
      <c r="J39" s="82" t="s">
        <v>83</v>
      </c>
      <c r="K39" s="19">
        <f>IF(K34+K42&gt;0,1,0)</f>
        <v>1</v>
      </c>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spans="1:37" ht="23.25" thickBot="1">
      <c r="C40" s="169"/>
      <c r="D40" s="124"/>
      <c r="E40" s="125" t="s">
        <v>205</v>
      </c>
      <c r="F40" s="126">
        <f>F38+F39</f>
        <v>1373370.768281837</v>
      </c>
      <c r="G40" s="15"/>
      <c r="H40" s="29">
        <v>39</v>
      </c>
      <c r="I40" s="72"/>
      <c r="J40" s="82" t="s">
        <v>85</v>
      </c>
      <c r="K40" s="19">
        <f>'کاربرگ ورود اطلاعات'!I7</f>
        <v>0</v>
      </c>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spans="1:37" ht="23.25" thickBot="1">
      <c r="G41" s="15"/>
      <c r="H41" s="29">
        <v>40</v>
      </c>
      <c r="I41" s="72"/>
      <c r="J41" s="82" t="s">
        <v>84</v>
      </c>
      <c r="K41" s="19">
        <f>K40*K39</f>
        <v>0</v>
      </c>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spans="1:37" ht="23.25" thickBot="1">
      <c r="C42" s="170" t="s">
        <v>210</v>
      </c>
      <c r="D42" s="137">
        <f>SUM(حکم!E5:E7,حکم!E10,حکم!E11,حکم!E15,حکم!E19)</f>
        <v>19619582.40402624</v>
      </c>
      <c r="F42" s="135"/>
      <c r="G42" s="15"/>
      <c r="H42" s="84">
        <v>41</v>
      </c>
      <c r="I42" s="72"/>
      <c r="J42" s="82" t="s">
        <v>86</v>
      </c>
      <c r="K42" s="19">
        <f>IF(F7='کاربرگ ورود اطلاعات'!I6,1,0)</f>
        <v>0</v>
      </c>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spans="1:37" ht="23.25" thickBot="1">
      <c r="C43" s="171" t="s">
        <v>164</v>
      </c>
      <c r="D43" s="138">
        <f>B7</f>
        <v>11230000</v>
      </c>
      <c r="F43" s="136"/>
      <c r="G43" s="15"/>
      <c r="H43" s="29">
        <v>42</v>
      </c>
      <c r="I43" s="72"/>
      <c r="J43" s="73"/>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spans="1:37">
      <c r="C44" s="170" t="s">
        <v>211</v>
      </c>
      <c r="D44" s="137">
        <f>D43/20</f>
        <v>561500</v>
      </c>
      <c r="E44" s="15"/>
      <c r="F44" s="136"/>
      <c r="G44" s="15"/>
      <c r="H44" s="29">
        <v>43</v>
      </c>
      <c r="I44" s="72"/>
      <c r="J44" s="73"/>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spans="1:37" ht="23.25" thickBot="1">
      <c r="C45" s="172" t="s">
        <v>212</v>
      </c>
      <c r="D45" s="138">
        <f>(D42-D43)/50</f>
        <v>167791.64808052481</v>
      </c>
      <c r="E45" s="15"/>
      <c r="F45" s="15"/>
      <c r="G45" s="15"/>
      <c r="H45" s="84">
        <v>44</v>
      </c>
      <c r="I45" s="72"/>
      <c r="J45" s="73"/>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spans="1:37" ht="23.25" thickBot="1">
      <c r="C46" s="170" t="s">
        <v>215</v>
      </c>
      <c r="D46" s="137">
        <f>D44+D45</f>
        <v>729291.64808052476</v>
      </c>
      <c r="E46" s="137">
        <f>IF(C46=محاسبات!B144,محاسبات!B143*D46,0)</f>
        <v>0</v>
      </c>
      <c r="F46" s="15"/>
      <c r="G46" s="15"/>
      <c r="H46" s="29">
        <v>45</v>
      </c>
      <c r="I46" s="72"/>
      <c r="J46" s="73"/>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spans="1:37" ht="23.25" thickBot="1">
      <c r="C47" s="171" t="s">
        <v>216</v>
      </c>
      <c r="D47" s="138">
        <f>D46/2</f>
        <v>364645.82404026238</v>
      </c>
      <c r="E47" s="139">
        <f>IF(C47=محاسبات!B144,محاسبات!B143*D47,0)</f>
        <v>0</v>
      </c>
      <c r="F47" s="15"/>
      <c r="G47" s="15"/>
      <c r="H47" s="29">
        <v>46</v>
      </c>
      <c r="I47" s="72"/>
      <c r="J47" s="73"/>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spans="1:37" ht="23.25" thickBot="1">
      <c r="C48" s="852" t="s">
        <v>217</v>
      </c>
      <c r="D48" s="853"/>
      <c r="E48" s="140">
        <f>E46+E47</f>
        <v>0</v>
      </c>
      <c r="F48" s="15"/>
      <c r="G48" s="15"/>
      <c r="H48" s="84">
        <v>47</v>
      </c>
      <c r="I48" s="72"/>
      <c r="J48" s="73"/>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row>
    <row r="49" spans="1:37">
      <c r="C49" s="143" t="s">
        <v>216</v>
      </c>
      <c r="D49" s="144">
        <v>61000</v>
      </c>
      <c r="E49" s="145"/>
      <c r="F49" s="15"/>
      <c r="G49" s="15"/>
      <c r="H49" s="29">
        <v>48</v>
      </c>
      <c r="I49" s="72"/>
      <c r="J49" s="73"/>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row>
    <row r="50" spans="1:37">
      <c r="A50" s="110"/>
      <c r="B50" s="109"/>
      <c r="C50" s="146" t="s">
        <v>307</v>
      </c>
      <c r="D50" s="147">
        <f>22*D49</f>
        <v>1342000</v>
      </c>
      <c r="E50" s="148">
        <f>IF(C50=محاسبات!B147,D50,0)</f>
        <v>0</v>
      </c>
      <c r="F50" s="15"/>
      <c r="G50" s="15"/>
      <c r="H50" s="29">
        <v>49</v>
      </c>
      <c r="I50" s="72"/>
      <c r="J50" s="73"/>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row>
    <row r="51" spans="1:37" ht="23.25" thickBot="1">
      <c r="A51" s="110"/>
      <c r="B51" s="109"/>
      <c r="C51" s="149" t="s">
        <v>308</v>
      </c>
      <c r="D51" s="150">
        <f>26*D49</f>
        <v>1586000</v>
      </c>
      <c r="E51" s="151">
        <f>IF(C51=محاسبات!B147,D51,0)</f>
        <v>0</v>
      </c>
      <c r="F51" s="15"/>
      <c r="G51" s="15"/>
      <c r="H51" s="84">
        <v>50</v>
      </c>
      <c r="I51" s="72"/>
      <c r="J51" s="73"/>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spans="1:37" ht="23.25" thickBot="1">
      <c r="A52" s="110"/>
      <c r="B52" s="109"/>
      <c r="C52" s="149" t="s">
        <v>309</v>
      </c>
      <c r="D52" s="150">
        <f>30*D49</f>
        <v>1830000</v>
      </c>
      <c r="E52" s="151">
        <f>IF(C52=محاسبات!B147,D52,0)</f>
        <v>0</v>
      </c>
      <c r="F52" s="15"/>
      <c r="G52" s="15"/>
      <c r="H52" s="15"/>
      <c r="I52" s="72"/>
      <c r="J52" s="73"/>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spans="1:37" ht="23.25" thickBot="1">
      <c r="A53" s="58"/>
      <c r="B53" s="58"/>
      <c r="C53" s="817" t="s">
        <v>227</v>
      </c>
      <c r="D53" s="818"/>
      <c r="E53" s="142">
        <f>D49*محاسبات!B147</f>
        <v>1830000</v>
      </c>
      <c r="F53" s="15"/>
      <c r="G53" s="15"/>
      <c r="H53" s="15"/>
      <c r="I53" s="72"/>
      <c r="J53" s="73"/>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spans="1:37">
      <c r="A54" s="58"/>
      <c r="B54" s="58"/>
      <c r="C54" s="152" t="s">
        <v>224</v>
      </c>
      <c r="D54" s="153">
        <v>0</v>
      </c>
      <c r="E54" s="154">
        <f>IF(C54=محاسبات!B146,D54,0)</f>
        <v>0</v>
      </c>
      <c r="F54" s="15"/>
      <c r="G54" s="15"/>
      <c r="H54" s="15"/>
      <c r="I54" s="72"/>
      <c r="J54" s="73"/>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55" spans="1:37">
      <c r="A55" s="15"/>
      <c r="B55" s="15"/>
      <c r="C55" s="155" t="s">
        <v>225</v>
      </c>
      <c r="D55" s="156">
        <v>840000</v>
      </c>
      <c r="E55" s="157">
        <f>IF(C55=محاسبات!B146,D55,0)</f>
        <v>0</v>
      </c>
      <c r="F55" s="15"/>
      <c r="G55" s="15"/>
      <c r="H55" s="15"/>
      <c r="I55" s="72"/>
      <c r="J55" s="73"/>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row>
    <row r="56" spans="1:37">
      <c r="A56" s="15"/>
      <c r="B56" s="15"/>
      <c r="C56" s="155" t="s">
        <v>226</v>
      </c>
      <c r="D56" s="156">
        <v>1260000</v>
      </c>
      <c r="E56" s="157">
        <f>IF(C56=محاسبات!B146,D56,0)</f>
        <v>1260000</v>
      </c>
      <c r="F56" s="15"/>
      <c r="G56" s="15"/>
      <c r="H56" s="15"/>
      <c r="I56" s="72"/>
      <c r="J56" s="73"/>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row>
    <row r="57" spans="1:37" ht="23.25" thickBot="1">
      <c r="A57" s="15"/>
      <c r="B57" s="15"/>
      <c r="C57" s="863" t="s">
        <v>223</v>
      </c>
      <c r="D57" s="864"/>
      <c r="E57" s="158">
        <f>SUM(E54:E56)</f>
        <v>1260000</v>
      </c>
      <c r="I57" s="72"/>
      <c r="J57" s="73"/>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row>
    <row r="58" spans="1:37" ht="23.25" thickBot="1">
      <c r="A58" s="15"/>
      <c r="B58" s="15"/>
      <c r="C58" s="865" t="s">
        <v>228</v>
      </c>
      <c r="D58" s="866"/>
      <c r="E58" s="159">
        <f>IF(F2=محاسبات!E146,E53+E57,0)</f>
        <v>3090000</v>
      </c>
      <c r="I58" s="72"/>
      <c r="J58" s="73"/>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row>
    <row r="59" spans="1:37">
      <c r="A59" s="15"/>
      <c r="B59" s="15"/>
      <c r="C59" s="314" t="s">
        <v>72</v>
      </c>
      <c r="D59" s="315" t="s">
        <v>298</v>
      </c>
      <c r="E59" s="316" t="s">
        <v>100</v>
      </c>
      <c r="I59" s="72"/>
      <c r="J59" s="73"/>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37">
      <c r="A60" s="15"/>
      <c r="B60" s="15"/>
      <c r="C60" s="163">
        <f>IF(F4='کاربرگ ورود اطلاعات'!I5,1,0)</f>
        <v>0</v>
      </c>
      <c r="D60" s="161">
        <f>IF(F5='کاربرگ ورود اطلاعات'!I6,1,0)</f>
        <v>0</v>
      </c>
      <c r="E60" s="164">
        <f>D60*C60</f>
        <v>0</v>
      </c>
      <c r="I60" s="72"/>
      <c r="J60" s="73"/>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spans="1:37">
      <c r="C61" s="165">
        <f>IF(F4='کاربرگ ورود اطلاعات'!I5,1,0)</f>
        <v>0</v>
      </c>
      <c r="D61" s="162">
        <f>IF(F8='کاربرگ ورود اطلاعات'!I6,1,0)</f>
        <v>0</v>
      </c>
      <c r="E61" s="166">
        <f>D61*C61</f>
        <v>0</v>
      </c>
    </row>
    <row r="62" spans="1:37">
      <c r="C62" s="165">
        <f>IF(F4='کاربرگ ورود اطلاعات'!I5,1,0)</f>
        <v>0</v>
      </c>
      <c r="D62" s="162">
        <f>IF(F7='کاربرگ ورود اطلاعات'!I6,1,0)</f>
        <v>0</v>
      </c>
      <c r="E62" s="166">
        <f>D62*C62</f>
        <v>0</v>
      </c>
    </row>
    <row r="63" spans="1:37">
      <c r="C63" s="819" t="s">
        <v>232</v>
      </c>
      <c r="D63" s="820"/>
      <c r="E63" s="166">
        <f>E60+E61+E62</f>
        <v>0</v>
      </c>
    </row>
    <row r="64" spans="1:37" ht="23.25" thickBot="1">
      <c r="C64" s="821" t="s">
        <v>230</v>
      </c>
      <c r="D64" s="822"/>
      <c r="E64" s="317">
        <f>IF(محاسبات!B148&gt;'کاربرگ ورود اطلاعات'!I7,'کاربرگ ورود اطلاعات'!I7,محاسبات!B148)</f>
        <v>0</v>
      </c>
    </row>
    <row r="65" spans="3:8" ht="23.25" thickBot="1">
      <c r="C65" s="869" t="s">
        <v>231</v>
      </c>
      <c r="D65" s="870"/>
      <c r="E65" s="160">
        <f>E64*E63*1000000</f>
        <v>0</v>
      </c>
    </row>
    <row r="66" spans="3:8" ht="23.25" thickBot="1">
      <c r="C66" s="131" t="s">
        <v>52</v>
      </c>
      <c r="D66" s="132">
        <f>'فیش حقوقی'!B12+'فیش حقوقی'!B5+حکم!E8+حکم!E9+حکم!E10+حکم!E11+حکم!E12+حکم!E13+حکم!E14+حکم!E15+حکم!E16+حکم!E17+حکم!E18+حکم!E19+حکم!E22+حکم!E23+حکم!E24</f>
        <v>25198073.31311715</v>
      </c>
      <c r="E66" s="127"/>
      <c r="F66" s="15"/>
    </row>
    <row r="68" spans="3:8" ht="23.25" thickBot="1"/>
    <row r="69" spans="3:8">
      <c r="C69" s="312" t="s">
        <v>310</v>
      </c>
      <c r="D69" s="313">
        <f>IF(SUM(حکم!E5:E7,حکم!E10,حکم!E11,حکم!E15,حکم!E19)&lt;12420000,12420000-SUM(حکم!E5:E7,حکم!E10,حکم!E11,حکم!E15,حکم!E19),0)</f>
        <v>0</v>
      </c>
    </row>
    <row r="70" spans="3:8">
      <c r="C70" s="98"/>
      <c r="D70" s="98" t="s">
        <v>318</v>
      </c>
      <c r="E70" s="98" t="s">
        <v>319</v>
      </c>
      <c r="F70" s="98" t="s">
        <v>320</v>
      </c>
      <c r="G70" s="98" t="s">
        <v>9</v>
      </c>
      <c r="H70" s="98" t="s">
        <v>321</v>
      </c>
    </row>
    <row r="71" spans="3:8">
      <c r="C71" s="98" t="s">
        <v>317</v>
      </c>
      <c r="D71" s="98">
        <v>51.9</v>
      </c>
      <c r="E71" s="98">
        <f>محاسبات!E151*محاسبات!D71</f>
        <v>0</v>
      </c>
      <c r="F71" s="98">
        <f>D71*محاسبات!E152*2</f>
        <v>0</v>
      </c>
      <c r="G71" s="98">
        <f>F71+E71</f>
        <v>0</v>
      </c>
      <c r="H71" s="98">
        <f>IF(G71&gt;1038,1038,G71)</f>
        <v>0</v>
      </c>
    </row>
    <row r="72" spans="3:8" ht="23.25" thickBot="1">
      <c r="C72" s="98" t="s">
        <v>254</v>
      </c>
      <c r="D72" s="98">
        <v>52.5</v>
      </c>
      <c r="E72" s="98">
        <f>D72*محاسبات!E151</f>
        <v>0</v>
      </c>
      <c r="F72" s="98">
        <f>D72*محاسبات!E152*2</f>
        <v>0</v>
      </c>
      <c r="G72" s="98">
        <f>F72+E72</f>
        <v>0</v>
      </c>
      <c r="H72" s="98">
        <f>IF(G72&gt;1050,1050,G72)</f>
        <v>0</v>
      </c>
    </row>
    <row r="73" spans="3:8" ht="23.25" thickBot="1">
      <c r="C73" s="195" t="s">
        <v>330</v>
      </c>
      <c r="D73" s="196">
        <f>D74+D75+23000000</f>
        <v>30819449.518033471</v>
      </c>
    </row>
    <row r="74" spans="3:8" ht="23.25" thickBot="1">
      <c r="C74" s="195" t="s">
        <v>329</v>
      </c>
      <c r="D74" s="196">
        <f>'فیش حقوقی'!E4</f>
        <v>620000</v>
      </c>
    </row>
    <row r="75" spans="3:8" ht="23.25" thickBot="1">
      <c r="C75" s="195" t="s">
        <v>328</v>
      </c>
      <c r="D75" s="196">
        <f>(محاسبات!D167*2)/7</f>
        <v>7199449.5180334719</v>
      </c>
    </row>
    <row r="76" spans="3:8">
      <c r="C76" s="195" t="s">
        <v>194</v>
      </c>
      <c r="D76" s="196">
        <f>IF(محاسبات!D167&lt;محاسبات!D73,محاسبات!D167,D73)</f>
        <v>25198073.31311715</v>
      </c>
      <c r="E76" s="100"/>
      <c r="F76" s="101"/>
    </row>
    <row r="77" spans="3:8">
      <c r="C77" s="180" t="s">
        <v>195</v>
      </c>
      <c r="D77" s="194">
        <f>IF(محاسبات!D167&lt;محاسبات!D73,0,محاسبات!D167-محاسبات!D73)</f>
        <v>0</v>
      </c>
      <c r="E77" s="98">
        <f>IF(D77&gt;69000000,69000000,D77)</f>
        <v>0</v>
      </c>
      <c r="F77" s="103">
        <f>IF(E77&gt;0,E77,0)</f>
        <v>0</v>
      </c>
    </row>
    <row r="78" spans="3:8">
      <c r="C78" s="179" t="s">
        <v>196</v>
      </c>
      <c r="D78" s="194">
        <f>D77-E77</f>
        <v>0</v>
      </c>
      <c r="E78" s="98">
        <f>IF(D78&gt;23000000,23000000,D78)</f>
        <v>0</v>
      </c>
      <c r="F78" s="103">
        <f>IF(E78&gt;0,E78,0)</f>
        <v>0</v>
      </c>
    </row>
    <row r="79" spans="3:8">
      <c r="C79" s="180" t="s">
        <v>197</v>
      </c>
      <c r="D79" s="194">
        <f>D78-E78</f>
        <v>0</v>
      </c>
      <c r="E79" s="98">
        <f>IF(D79&gt;46000000,46000000,D79)</f>
        <v>0</v>
      </c>
      <c r="F79" s="103">
        <f>IF(E79&gt;0,E79,0)</f>
        <v>0</v>
      </c>
    </row>
    <row r="80" spans="3:8" ht="23.25" thickBot="1">
      <c r="C80" s="181" t="s">
        <v>198</v>
      </c>
      <c r="D80" s="197">
        <f>D79-E79</f>
        <v>0</v>
      </c>
      <c r="E80" s="198"/>
      <c r="F80" s="199">
        <f>IF(D80&gt;0,D80,0)</f>
        <v>0</v>
      </c>
    </row>
    <row r="81" spans="3:5" ht="23.25" thickBot="1"/>
    <row r="82" spans="3:5">
      <c r="C82" s="217" t="s">
        <v>30</v>
      </c>
      <c r="D82" s="218">
        <v>0</v>
      </c>
      <c r="E82" s="101">
        <f>IF(C82='کاربرگ ورود اطلاعات'!I17,D82,0)</f>
        <v>0</v>
      </c>
    </row>
    <row r="83" spans="3:5">
      <c r="C83" s="215" t="s">
        <v>69</v>
      </c>
      <c r="D83" s="216">
        <v>800</v>
      </c>
      <c r="E83" s="103">
        <f>IF(C83='کاربرگ ورود اطلاعات'!I17,D83,0)</f>
        <v>0</v>
      </c>
    </row>
    <row r="84" spans="3:5">
      <c r="C84" s="215" t="s">
        <v>248</v>
      </c>
      <c r="D84" s="216">
        <v>650</v>
      </c>
      <c r="E84" s="103">
        <f>IF(C84='کاربرگ ورود اطلاعات'!I17,D84,0)</f>
        <v>0</v>
      </c>
    </row>
    <row r="85" spans="3:5">
      <c r="C85" s="215" t="s">
        <v>249</v>
      </c>
      <c r="D85" s="216">
        <v>500</v>
      </c>
      <c r="E85" s="103">
        <f>IF(C85='کاربرگ ورود اطلاعات'!I17,D85,0)</f>
        <v>0</v>
      </c>
    </row>
    <row r="86" spans="3:5">
      <c r="C86" s="215" t="s">
        <v>250</v>
      </c>
      <c r="D86" s="216">
        <v>400</v>
      </c>
      <c r="E86" s="103">
        <f>IF(C86='کاربرگ ورود اطلاعات'!I17,D86,0)</f>
        <v>0</v>
      </c>
    </row>
    <row r="87" spans="3:5">
      <c r="C87" s="215" t="s">
        <v>251</v>
      </c>
      <c r="D87" s="216">
        <v>800</v>
      </c>
      <c r="E87" s="103">
        <f>IF(C87='کاربرگ ورود اطلاعات'!I17,D87,0)</f>
        <v>0</v>
      </c>
    </row>
    <row r="88" spans="3:5" ht="23.25" thickBot="1">
      <c r="C88" s="219" t="s">
        <v>252</v>
      </c>
      <c r="D88" s="867">
        <f>SUM(E82:E87)</f>
        <v>0</v>
      </c>
      <c r="E88" s="868"/>
    </row>
    <row r="89" spans="3:5" ht="23.25" thickBot="1"/>
    <row r="90" spans="3:5">
      <c r="C90" s="99" t="s">
        <v>12</v>
      </c>
      <c r="D90" s="222">
        <f>SUM(حکم!C8,حکم!C10,حکم!C15,حکم!C19)*'کاربرگ ورود اطلاعات'!I11%</f>
        <v>0</v>
      </c>
      <c r="E90" s="1">
        <f>SUM(I2:I4,I7,I12,I16)*'کاربرگ ورود اطلاعات'!I11%</f>
        <v>0</v>
      </c>
    </row>
    <row r="91" spans="3:5">
      <c r="C91" s="102" t="s">
        <v>254</v>
      </c>
      <c r="D91" s="223">
        <v>0</v>
      </c>
      <c r="E91" s="1">
        <v>0</v>
      </c>
    </row>
    <row r="92" spans="3:5" ht="23.25" thickBot="1">
      <c r="C92" s="221" t="s">
        <v>255</v>
      </c>
      <c r="D92" s="126">
        <f>IF(F2=محاسبات!E146,D90,D91)</f>
        <v>0</v>
      </c>
      <c r="E92" s="1">
        <f>IF(F1=محاسبات!E146,E91,E90)</f>
        <v>0</v>
      </c>
    </row>
    <row r="97" spans="2:8">
      <c r="B97" s="1" t="s">
        <v>288</v>
      </c>
      <c r="C97" s="1" t="s">
        <v>290</v>
      </c>
    </row>
    <row r="98" spans="2:8">
      <c r="C98" s="1" t="s">
        <v>291</v>
      </c>
    </row>
    <row r="99" spans="2:8">
      <c r="C99" s="1" t="s">
        <v>289</v>
      </c>
    </row>
    <row r="100" spans="2:8">
      <c r="C100" s="1" t="s">
        <v>292</v>
      </c>
    </row>
    <row r="101" spans="2:8">
      <c r="C101" s="1" t="s">
        <v>306</v>
      </c>
    </row>
    <row r="104" spans="2:8" ht="23.25" thickBot="1"/>
    <row r="105" spans="2:8">
      <c r="C105" s="854" t="s">
        <v>262</v>
      </c>
      <c r="D105" s="855"/>
      <c r="E105" s="855"/>
      <c r="F105" s="856"/>
    </row>
    <row r="106" spans="2:8" ht="23.25" customHeight="1">
      <c r="C106" s="857" t="s">
        <v>263</v>
      </c>
      <c r="D106" s="858"/>
      <c r="E106" s="858"/>
      <c r="F106" s="859"/>
    </row>
    <row r="107" spans="2:8" ht="23.25" customHeight="1" thickBot="1">
      <c r="C107" s="860" t="s">
        <v>264</v>
      </c>
      <c r="D107" s="861"/>
      <c r="E107" s="861"/>
      <c r="F107" s="862"/>
    </row>
    <row r="108" spans="2:8" ht="23.25" thickBot="1"/>
    <row r="109" spans="2:8" ht="28.5" thickBot="1">
      <c r="B109" s="814" t="s">
        <v>312</v>
      </c>
      <c r="C109" s="815"/>
      <c r="D109" s="815"/>
      <c r="E109" s="815"/>
      <c r="F109" s="815"/>
      <c r="G109" s="815"/>
      <c r="H109" s="816"/>
    </row>
    <row r="110" spans="2:8" ht="23.25" thickBot="1">
      <c r="B110" s="300" t="s">
        <v>313</v>
      </c>
      <c r="C110" s="301" t="s">
        <v>1</v>
      </c>
      <c r="D110" s="301" t="s">
        <v>126</v>
      </c>
      <c r="E110" s="301" t="s">
        <v>1</v>
      </c>
      <c r="F110" s="301" t="s">
        <v>314</v>
      </c>
      <c r="G110" s="301" t="s">
        <v>1</v>
      </c>
      <c r="H110" s="302" t="s">
        <v>315</v>
      </c>
    </row>
    <row r="111" spans="2:8">
      <c r="B111" s="298">
        <v>0</v>
      </c>
      <c r="C111" s="263">
        <f>IF(B111='کاربرگ ورود اطلاعات'!I12,0,0)</f>
        <v>0</v>
      </c>
      <c r="D111" s="298">
        <v>0</v>
      </c>
      <c r="E111" s="263">
        <f>IF(D111='کاربرگ ورود اطلاعات'!I13,0,0)</f>
        <v>0</v>
      </c>
      <c r="F111" s="299">
        <v>0</v>
      </c>
      <c r="G111" s="263">
        <f>IF(F111='کاربرگ ورود اطلاعات'!I14,0,0)</f>
        <v>0</v>
      </c>
      <c r="H111" s="303">
        <v>0</v>
      </c>
    </row>
    <row r="112" spans="2:8">
      <c r="B112" s="298">
        <v>0</v>
      </c>
      <c r="C112" s="263">
        <f>IF(B112='کاربرگ ورود اطلاعات'!I12,0,0)</f>
        <v>0</v>
      </c>
      <c r="D112" s="298">
        <v>0</v>
      </c>
      <c r="E112" s="263">
        <f>IF(D112='کاربرگ ورود اطلاعات'!I13,0,0)</f>
        <v>0</v>
      </c>
      <c r="F112" s="501" t="s">
        <v>482</v>
      </c>
      <c r="G112" s="263">
        <f>IF(F112='کاربرگ ورود اطلاعات'!I14,200,0)</f>
        <v>0</v>
      </c>
      <c r="H112" s="303">
        <v>0</v>
      </c>
    </row>
    <row r="113" spans="2:8">
      <c r="B113" s="286" t="s">
        <v>128</v>
      </c>
      <c r="C113" s="66">
        <f>IF(B113='کاربرگ ورود اطلاعات'!I12,H113,0)</f>
        <v>0</v>
      </c>
      <c r="D113" s="286" t="s">
        <v>300</v>
      </c>
      <c r="E113" s="66">
        <f>IF(D113='کاربرگ ورود اطلاعات'!I13,H113,0)</f>
        <v>0</v>
      </c>
      <c r="F113" s="500" t="s">
        <v>129</v>
      </c>
      <c r="G113" s="66">
        <f>IF(F113='کاربرگ ورود اطلاعات'!I14,H113,0)</f>
        <v>0</v>
      </c>
      <c r="H113" s="288">
        <v>400</v>
      </c>
    </row>
    <row r="114" spans="2:8">
      <c r="B114" s="286" t="s">
        <v>130</v>
      </c>
      <c r="C114" s="66">
        <f>IF(B114='کاربرگ ورود اطلاعات'!I12,H114,0)</f>
        <v>0</v>
      </c>
      <c r="D114" s="286" t="s">
        <v>131</v>
      </c>
      <c r="E114" s="66">
        <f>IF(D114='کاربرگ ورود اطلاعات'!I13,H114,0)</f>
        <v>0</v>
      </c>
      <c r="F114" s="286" t="s">
        <v>131</v>
      </c>
      <c r="G114" s="66">
        <f>IF(F114='کاربرگ ورود اطلاعات'!I14,H114,0)</f>
        <v>0</v>
      </c>
      <c r="H114" s="288">
        <v>500</v>
      </c>
    </row>
    <row r="115" spans="2:8">
      <c r="B115" s="286" t="s">
        <v>132</v>
      </c>
      <c r="C115" s="66">
        <f>IF(B115='کاربرگ ورود اطلاعات'!I12,H115,0)</f>
        <v>0</v>
      </c>
      <c r="D115" s="286" t="s">
        <v>133</v>
      </c>
      <c r="E115" s="66">
        <f>IF(D115='کاربرگ ورود اطلاعات'!I13,H115,0)</f>
        <v>0</v>
      </c>
      <c r="F115" s="286" t="s">
        <v>133</v>
      </c>
      <c r="G115" s="66">
        <f>IF(F115='کاربرگ ورود اطلاعات'!I14,H115,0)</f>
        <v>0</v>
      </c>
      <c r="H115" s="288">
        <v>600</v>
      </c>
    </row>
    <row r="116" spans="2:8">
      <c r="B116" s="286" t="s">
        <v>134</v>
      </c>
      <c r="C116" s="66">
        <f>IF(B116='کاربرگ ورود اطلاعات'!I12,H116,0)</f>
        <v>0</v>
      </c>
      <c r="D116" s="286" t="s">
        <v>135</v>
      </c>
      <c r="E116" s="66">
        <f>IF(D116='کاربرگ ورود اطلاعات'!I13,H116,0)</f>
        <v>0</v>
      </c>
      <c r="F116" s="286" t="s">
        <v>135</v>
      </c>
      <c r="G116" s="66">
        <f>IF(F116='کاربرگ ورود اطلاعات'!I14,H116,0)</f>
        <v>0</v>
      </c>
      <c r="H116" s="288">
        <v>700</v>
      </c>
    </row>
    <row r="117" spans="2:8">
      <c r="B117" s="286" t="s">
        <v>136</v>
      </c>
      <c r="C117" s="66">
        <f>IF(B117='کاربرگ ورود اطلاعات'!I12,H117,0)</f>
        <v>0</v>
      </c>
      <c r="D117" s="286" t="s">
        <v>137</v>
      </c>
      <c r="E117" s="66">
        <f>IF(D117='کاربرگ ورود اطلاعات'!I13,H117,0)</f>
        <v>0</v>
      </c>
      <c r="F117" s="286" t="s">
        <v>137</v>
      </c>
      <c r="G117" s="66">
        <f>IF(F117='کاربرگ ورود اطلاعات'!I14,H117,0)</f>
        <v>0</v>
      </c>
      <c r="H117" s="288">
        <v>800</v>
      </c>
    </row>
    <row r="118" spans="2:8">
      <c r="B118" s="286" t="s">
        <v>138</v>
      </c>
      <c r="C118" s="66">
        <f>IF(B118='کاربرگ ورود اطلاعات'!I12,H118,0)</f>
        <v>0</v>
      </c>
      <c r="D118" s="286" t="s">
        <v>139</v>
      </c>
      <c r="E118" s="66">
        <f>IF(D118='کاربرگ ورود اطلاعات'!I13,H118,0)</f>
        <v>0</v>
      </c>
      <c r="F118" s="286" t="s">
        <v>139</v>
      </c>
      <c r="G118" s="66">
        <f>IF(F118='کاربرگ ورود اطلاعات'!I14,H118,0)</f>
        <v>0</v>
      </c>
      <c r="H118" s="288">
        <v>900</v>
      </c>
    </row>
    <row r="119" spans="2:8">
      <c r="B119" s="286" t="s">
        <v>140</v>
      </c>
      <c r="C119" s="66">
        <f>IF(B119='کاربرگ ورود اطلاعات'!I12,H119,0)</f>
        <v>0</v>
      </c>
      <c r="D119" s="286" t="s">
        <v>141</v>
      </c>
      <c r="E119" s="66">
        <f>IF(D119='کاربرگ ورود اطلاعات'!I13,H119,0)</f>
        <v>0</v>
      </c>
      <c r="F119" s="286" t="s">
        <v>141</v>
      </c>
      <c r="G119" s="66">
        <f>IF(F119='کاربرگ ورود اطلاعات'!I14,H119,0)</f>
        <v>0</v>
      </c>
      <c r="H119" s="288">
        <v>1000</v>
      </c>
    </row>
    <row r="120" spans="2:8">
      <c r="B120" s="286" t="s">
        <v>142</v>
      </c>
      <c r="C120" s="66">
        <f>IF(B120='کاربرگ ورود اطلاعات'!I12,H120,0)</f>
        <v>0</v>
      </c>
      <c r="D120" s="286" t="s">
        <v>143</v>
      </c>
      <c r="E120" s="66">
        <f>IF(D120='کاربرگ ورود اطلاعات'!I13,H120,0)</f>
        <v>0</v>
      </c>
      <c r="F120" s="286" t="s">
        <v>143</v>
      </c>
      <c r="G120" s="66">
        <f>IF(F120='کاربرگ ورود اطلاعات'!I14,H120,0)</f>
        <v>0</v>
      </c>
      <c r="H120" s="288">
        <v>1100</v>
      </c>
    </row>
    <row r="121" spans="2:8">
      <c r="B121" s="286" t="s">
        <v>144</v>
      </c>
      <c r="C121" s="66">
        <f>IF(B121='کاربرگ ورود اطلاعات'!I12,H121,0)</f>
        <v>0</v>
      </c>
      <c r="D121" s="286" t="s">
        <v>145</v>
      </c>
      <c r="E121" s="66">
        <f>IF(D121='کاربرگ ورود اطلاعات'!I13,H121,0)</f>
        <v>0</v>
      </c>
      <c r="F121" s="286" t="s">
        <v>145</v>
      </c>
      <c r="G121" s="66">
        <f>IF(F121='کاربرگ ورود اطلاعات'!I14,H121,0)</f>
        <v>0</v>
      </c>
      <c r="H121" s="288">
        <v>1200</v>
      </c>
    </row>
    <row r="122" spans="2:8">
      <c r="B122" s="286" t="s">
        <v>146</v>
      </c>
      <c r="C122" s="66">
        <f>IF(B122='کاربرگ ورود اطلاعات'!I12,H122,0)</f>
        <v>0</v>
      </c>
      <c r="D122" s="286" t="s">
        <v>147</v>
      </c>
      <c r="E122" s="66">
        <f>IF(D122='کاربرگ ورود اطلاعات'!I13,H122,0)</f>
        <v>0</v>
      </c>
      <c r="F122" s="286" t="s">
        <v>147</v>
      </c>
      <c r="G122" s="66">
        <f>IF(F122='کاربرگ ورود اطلاعات'!I14,H122,0)</f>
        <v>0</v>
      </c>
      <c r="H122" s="288">
        <v>1300</v>
      </c>
    </row>
    <row r="123" spans="2:8">
      <c r="B123" s="286" t="s">
        <v>148</v>
      </c>
      <c r="C123" s="66">
        <f>IF(B123='کاربرگ ورود اطلاعات'!I12,H123,0)</f>
        <v>0</v>
      </c>
      <c r="D123" s="286" t="s">
        <v>149</v>
      </c>
      <c r="E123" s="66">
        <f>IF(D123='کاربرگ ورود اطلاعات'!I13,H123,0)</f>
        <v>0</v>
      </c>
      <c r="F123" s="286" t="s">
        <v>149</v>
      </c>
      <c r="G123" s="66">
        <f>IF(F123='کاربرگ ورود اطلاعات'!I14,H123,0)</f>
        <v>0</v>
      </c>
      <c r="H123" s="288">
        <v>1500</v>
      </c>
    </row>
    <row r="124" spans="2:8" ht="23.25" thickBot="1">
      <c r="B124" s="287" t="s">
        <v>150</v>
      </c>
      <c r="C124" s="60">
        <f>IF(B124='کاربرگ ورود اطلاعات'!I12,H124,0)</f>
        <v>0</v>
      </c>
      <c r="D124" s="287" t="s">
        <v>151</v>
      </c>
      <c r="E124" s="60">
        <f>IF(D124='کاربرگ ورود اطلاعات'!I13,H124,0)</f>
        <v>0</v>
      </c>
      <c r="F124" s="287" t="s">
        <v>151</v>
      </c>
      <c r="G124" s="60">
        <f>IF(F124='کاربرگ ورود اطلاعات'!I14,H124,0)</f>
        <v>0</v>
      </c>
      <c r="H124" s="289">
        <v>1550</v>
      </c>
    </row>
    <row r="125" spans="2:8" ht="23.25" thickBot="1">
      <c r="B125" s="295" t="s">
        <v>301</v>
      </c>
      <c r="C125" s="297">
        <f>SUM(C113:C124)</f>
        <v>0</v>
      </c>
      <c r="D125" s="295" t="s">
        <v>302</v>
      </c>
      <c r="E125" s="297">
        <f>SUM(E111:E124)</f>
        <v>0</v>
      </c>
      <c r="F125" s="296" t="s">
        <v>303</v>
      </c>
      <c r="G125" s="297">
        <f>SUM(G111:G124)</f>
        <v>0</v>
      </c>
      <c r="H125" s="290"/>
    </row>
    <row r="126" spans="2:8" ht="23.25" thickBot="1">
      <c r="B126" s="873" t="s">
        <v>304</v>
      </c>
      <c r="C126" s="874"/>
      <c r="D126" s="874"/>
      <c r="E126" s="297">
        <f>IF(محاسبات!D2=محاسبات!E142,1500,0)</f>
        <v>0</v>
      </c>
      <c r="F126" s="871" t="s">
        <v>305</v>
      </c>
      <c r="G126" s="872"/>
      <c r="H126" s="291">
        <f>G125+E125+C125+E126</f>
        <v>0</v>
      </c>
    </row>
    <row r="127" spans="2:8" ht="23.25" thickBot="1">
      <c r="B127" s="292"/>
      <c r="C127" s="293"/>
      <c r="D127" s="293"/>
      <c r="E127" s="293"/>
      <c r="F127" s="293"/>
      <c r="G127" s="293"/>
      <c r="H127" s="294"/>
    </row>
    <row r="128" spans="2:8" ht="23.25" thickBot="1">
      <c r="B128" s="292"/>
      <c r="C128" s="293"/>
      <c r="D128" s="693" t="s">
        <v>299</v>
      </c>
      <c r="E128" s="694"/>
      <c r="F128" s="64">
        <f>IF(H126&gt;1500,1500,H126)</f>
        <v>0</v>
      </c>
      <c r="G128" s="293"/>
      <c r="H128" s="294"/>
    </row>
    <row r="129" spans="1:9" ht="23.25" thickBot="1">
      <c r="B129" s="292"/>
      <c r="C129" s="293"/>
      <c r="D129" s="293"/>
      <c r="E129" s="293"/>
      <c r="F129" s="293"/>
      <c r="G129" s="293"/>
      <c r="H129" s="294"/>
    </row>
    <row r="130" spans="1:9">
      <c r="B130" s="879">
        <f>IF(H126&gt;1500,محاسبات!B97,محاسبات!B96)</f>
        <v>0</v>
      </c>
      <c r="C130" s="875">
        <f>IF(H126&gt;1500,محاسبات!C101,محاسبات!B96)</f>
        <v>0</v>
      </c>
      <c r="D130" s="875"/>
      <c r="E130" s="875"/>
      <c r="F130" s="875"/>
      <c r="G130" s="875"/>
      <c r="H130" s="876"/>
    </row>
    <row r="131" spans="1:9" ht="23.25" thickBot="1">
      <c r="B131" s="880"/>
      <c r="C131" s="877"/>
      <c r="D131" s="877"/>
      <c r="E131" s="877"/>
      <c r="F131" s="877"/>
      <c r="G131" s="877"/>
      <c r="H131" s="878"/>
    </row>
    <row r="133" spans="1:9" ht="23.25" thickBot="1"/>
    <row r="134" spans="1:9">
      <c r="A134" s="4" t="s">
        <v>234</v>
      </c>
      <c r="B134" s="189" t="s">
        <v>203</v>
      </c>
      <c r="D134" s="486" t="s">
        <v>23</v>
      </c>
      <c r="E134" s="496">
        <v>0</v>
      </c>
      <c r="F134" s="486" t="s">
        <v>167</v>
      </c>
      <c r="G134" s="496" t="s">
        <v>30</v>
      </c>
    </row>
    <row r="135" spans="1:9" ht="23.25" thickBot="1">
      <c r="A135" s="5" t="s">
        <v>32</v>
      </c>
      <c r="B135" s="188" t="s">
        <v>29</v>
      </c>
      <c r="D135" s="487" t="s">
        <v>24</v>
      </c>
      <c r="E135" s="498">
        <v>0</v>
      </c>
      <c r="F135" s="487" t="s">
        <v>168</v>
      </c>
      <c r="G135" s="497">
        <v>0</v>
      </c>
    </row>
    <row r="136" spans="1:9">
      <c r="A136" s="5" t="s">
        <v>33</v>
      </c>
      <c r="B136" s="188">
        <v>0</v>
      </c>
    </row>
    <row r="137" spans="1:9">
      <c r="A137" s="5" t="s">
        <v>190</v>
      </c>
      <c r="B137" s="187">
        <v>620000</v>
      </c>
      <c r="D137" s="486" t="s">
        <v>156</v>
      </c>
      <c r="E137" s="496">
        <f>Sheet1!S82</f>
        <v>1399</v>
      </c>
    </row>
    <row r="138" spans="1:9">
      <c r="A138" s="5" t="s">
        <v>191</v>
      </c>
      <c r="B138" s="187">
        <v>320000</v>
      </c>
      <c r="D138" s="486" t="s">
        <v>157</v>
      </c>
      <c r="E138" s="496">
        <f>Sheet1!R82</f>
        <v>0</v>
      </c>
    </row>
    <row r="139" spans="1:9">
      <c r="A139" s="5" t="s">
        <v>192</v>
      </c>
      <c r="B139" s="187">
        <v>4</v>
      </c>
      <c r="D139" s="486" t="s">
        <v>158</v>
      </c>
      <c r="E139" s="496">
        <f>Sheet1!S82</f>
        <v>1399</v>
      </c>
    </row>
    <row r="140" spans="1:9">
      <c r="A140" s="5" t="s">
        <v>206</v>
      </c>
      <c r="B140" s="188" t="s">
        <v>30</v>
      </c>
      <c r="D140" s="486" t="s">
        <v>159</v>
      </c>
      <c r="E140" s="496">
        <f>Sheet1!R82</f>
        <v>0</v>
      </c>
    </row>
    <row r="141" spans="1:9">
      <c r="A141" s="5" t="s">
        <v>207</v>
      </c>
      <c r="B141" s="188" t="s">
        <v>30</v>
      </c>
    </row>
    <row r="142" spans="1:9">
      <c r="A142" s="5" t="s">
        <v>27</v>
      </c>
      <c r="B142" s="190">
        <v>70</v>
      </c>
      <c r="D142" s="486" t="s">
        <v>31</v>
      </c>
      <c r="E142" s="496" t="s">
        <v>30</v>
      </c>
      <c r="F142" s="527" t="s">
        <v>25</v>
      </c>
      <c r="G142" s="528">
        <f>محاسبات!B17</f>
        <v>7.3546176000000001</v>
      </c>
      <c r="H142" s="806" t="s">
        <v>181</v>
      </c>
      <c r="I142" s="807"/>
    </row>
    <row r="143" spans="1:9" ht="23.25" thickBot="1">
      <c r="A143" s="5" t="s">
        <v>213</v>
      </c>
      <c r="B143" s="187">
        <v>0</v>
      </c>
      <c r="F143" s="281"/>
      <c r="G143" s="281"/>
      <c r="H143" s="808" t="s">
        <v>182</v>
      </c>
      <c r="I143" s="809"/>
    </row>
    <row r="144" spans="1:9">
      <c r="A144" s="5" t="s">
        <v>214</v>
      </c>
      <c r="B144" s="188" t="s">
        <v>215</v>
      </c>
      <c r="D144" s="485" t="s">
        <v>122</v>
      </c>
      <c r="E144" s="488">
        <f>Sheet1!I165</f>
        <v>0</v>
      </c>
      <c r="F144" s="105" t="s">
        <v>62</v>
      </c>
      <c r="G144" s="224">
        <f>محاسبات!I21</f>
        <v>17238150</v>
      </c>
      <c r="H144" s="281"/>
      <c r="I144" s="281"/>
    </row>
    <row r="145" spans="1:9" ht="23.25" thickBot="1">
      <c r="A145" s="5" t="s">
        <v>221</v>
      </c>
      <c r="B145" s="188" t="s">
        <v>30</v>
      </c>
      <c r="F145" s="106" t="s">
        <v>26</v>
      </c>
      <c r="G145" s="224">
        <f>حکم!E25-محاسبات!I21</f>
        <v>2381432.4040262401</v>
      </c>
      <c r="H145" s="281"/>
      <c r="I145" s="281"/>
    </row>
    <row r="146" spans="1:9" ht="23.25" thickBot="1">
      <c r="A146" s="5" t="s">
        <v>229</v>
      </c>
      <c r="B146" s="191" t="s">
        <v>226</v>
      </c>
      <c r="D146" s="485" t="s">
        <v>323</v>
      </c>
      <c r="E146" s="490" t="s">
        <v>30</v>
      </c>
      <c r="F146" s="281"/>
      <c r="G146" s="281"/>
      <c r="H146" s="107" t="s">
        <v>392</v>
      </c>
      <c r="I146" s="225">
        <f>حکم!E25</f>
        <v>19619582.40402624</v>
      </c>
    </row>
    <row r="147" spans="1:9">
      <c r="A147" s="5" t="s">
        <v>324</v>
      </c>
      <c r="B147" s="191">
        <v>30</v>
      </c>
      <c r="G147" s="812" t="s">
        <v>237</v>
      </c>
      <c r="H147" s="813"/>
    </row>
    <row r="148" spans="1:9" ht="23.25" thickBot="1">
      <c r="A148" s="5" t="s">
        <v>236</v>
      </c>
      <c r="B148" s="192">
        <v>0</v>
      </c>
      <c r="D148" s="486" t="s">
        <v>66</v>
      </c>
      <c r="E148" s="491">
        <v>8</v>
      </c>
      <c r="G148" s="810" t="s">
        <v>183</v>
      </c>
      <c r="H148" s="811"/>
    </row>
    <row r="149" spans="1:9">
      <c r="A149" s="5" t="s">
        <v>124</v>
      </c>
      <c r="B149" s="187">
        <v>6000000</v>
      </c>
      <c r="D149" s="486" t="s">
        <v>160</v>
      </c>
      <c r="E149" s="491" t="s">
        <v>69</v>
      </c>
    </row>
    <row r="150" spans="1:9">
      <c r="A150" s="5" t="s">
        <v>220</v>
      </c>
      <c r="B150" s="187">
        <v>0</v>
      </c>
    </row>
    <row r="151" spans="1:9">
      <c r="A151" s="5" t="s">
        <v>219</v>
      </c>
      <c r="B151" s="187">
        <v>0</v>
      </c>
      <c r="D151" s="486" t="s">
        <v>161</v>
      </c>
      <c r="E151" s="489">
        <v>0</v>
      </c>
    </row>
    <row r="152" spans="1:9">
      <c r="A152" s="81" t="s">
        <v>34</v>
      </c>
      <c r="B152" s="187">
        <v>0</v>
      </c>
      <c r="D152" s="486" t="s">
        <v>162</v>
      </c>
      <c r="E152" s="489">
        <v>0</v>
      </c>
    </row>
    <row r="153" spans="1:9">
      <c r="A153" s="226" t="s">
        <v>35</v>
      </c>
      <c r="B153" s="227">
        <v>0</v>
      </c>
    </row>
    <row r="158" spans="1:9" ht="23.25" thickBot="1">
      <c r="C158"/>
      <c r="D158"/>
      <c r="E158"/>
      <c r="F158"/>
      <c r="G158"/>
      <c r="H158"/>
    </row>
    <row r="159" spans="1:9" ht="28.5" thickBot="1">
      <c r="C159" s="814" t="s">
        <v>316</v>
      </c>
      <c r="D159" s="815"/>
      <c r="E159" s="815"/>
      <c r="F159" s="816"/>
      <c r="G159"/>
      <c r="H159"/>
    </row>
    <row r="160" spans="1:9" ht="23.25" thickBot="1">
      <c r="C160" s="300" t="s">
        <v>193</v>
      </c>
      <c r="D160" s="301" t="s">
        <v>199</v>
      </c>
      <c r="E160" s="301" t="s">
        <v>200</v>
      </c>
      <c r="F160" s="302" t="s">
        <v>201</v>
      </c>
      <c r="G160"/>
      <c r="H160"/>
    </row>
    <row r="161" spans="3:8">
      <c r="C161" s="179" t="s">
        <v>331</v>
      </c>
      <c r="D161" s="111">
        <f>محاسبات!D76</f>
        <v>25198073.31311715</v>
      </c>
      <c r="E161" s="112">
        <v>0</v>
      </c>
      <c r="F161" s="113">
        <f>E161*D161</f>
        <v>0</v>
      </c>
      <c r="G161"/>
      <c r="H161"/>
    </row>
    <row r="162" spans="3:8">
      <c r="C162" s="180" t="s">
        <v>195</v>
      </c>
      <c r="D162" s="128">
        <f>محاسبات!F77</f>
        <v>0</v>
      </c>
      <c r="E162" s="129">
        <v>0.1</v>
      </c>
      <c r="F162" s="130">
        <f>E162*D162</f>
        <v>0</v>
      </c>
      <c r="G162"/>
      <c r="H162"/>
    </row>
    <row r="163" spans="3:8">
      <c r="C163" s="179" t="s">
        <v>196</v>
      </c>
      <c r="D163" s="111">
        <f>محاسبات!F78</f>
        <v>0</v>
      </c>
      <c r="E163" s="112">
        <v>0.15</v>
      </c>
      <c r="F163" s="113">
        <f>E163*D163</f>
        <v>0</v>
      </c>
      <c r="G163"/>
      <c r="H163"/>
    </row>
    <row r="164" spans="3:8">
      <c r="C164" s="180" t="s">
        <v>197</v>
      </c>
      <c r="D164" s="128">
        <f>محاسبات!F79</f>
        <v>0</v>
      </c>
      <c r="E164" s="129">
        <v>0.25</v>
      </c>
      <c r="F164" s="130">
        <f>E164*D164</f>
        <v>0</v>
      </c>
      <c r="G164"/>
      <c r="H164"/>
    </row>
    <row r="165" spans="3:8">
      <c r="C165" s="179" t="s">
        <v>198</v>
      </c>
      <c r="D165" s="111">
        <f>محاسبات!F80</f>
        <v>0</v>
      </c>
      <c r="E165" s="112">
        <v>0.35</v>
      </c>
      <c r="F165" s="113">
        <f>E165*D165</f>
        <v>0</v>
      </c>
      <c r="G165"/>
      <c r="H165"/>
    </row>
    <row r="166" spans="3:8" ht="23.25" thickBot="1">
      <c r="C166" s="304" t="s">
        <v>9</v>
      </c>
      <c r="D166" s="305">
        <f>SUM(D161:D165)</f>
        <v>25198073.31311715</v>
      </c>
      <c r="E166" s="306"/>
      <c r="F166" s="307"/>
      <c r="G166"/>
      <c r="H166"/>
    </row>
    <row r="167" spans="3:8" ht="23.25" thickBot="1">
      <c r="C167" s="310" t="s">
        <v>322</v>
      </c>
      <c r="D167" s="311">
        <f>محاسبات!D66</f>
        <v>25198073.31311715</v>
      </c>
      <c r="E167" s="308" t="s">
        <v>202</v>
      </c>
      <c r="F167" s="309">
        <f>SUM(F161:F165)</f>
        <v>0</v>
      </c>
      <c r="G167"/>
      <c r="H167"/>
    </row>
    <row r="168" spans="3:8">
      <c r="C168" s="320"/>
      <c r="D168" s="327"/>
      <c r="E168" s="327"/>
      <c r="F168" s="321"/>
      <c r="G168"/>
      <c r="H168"/>
    </row>
    <row r="169" spans="3:8" ht="23.25" thickBot="1">
      <c r="C169" s="790"/>
      <c r="D169" s="791"/>
      <c r="E169" s="791"/>
      <c r="F169" s="792"/>
      <c r="G169"/>
      <c r="H169"/>
    </row>
    <row r="170" spans="3:8" ht="23.25" thickBot="1">
      <c r="C170" s="793" t="s">
        <v>333</v>
      </c>
      <c r="D170" s="796" t="s">
        <v>332</v>
      </c>
      <c r="E170" s="797"/>
      <c r="F170" s="326" t="s">
        <v>37</v>
      </c>
      <c r="G170"/>
      <c r="H170"/>
    </row>
    <row r="171" spans="3:8">
      <c r="C171" s="794"/>
      <c r="D171" s="798" t="s">
        <v>334</v>
      </c>
      <c r="E171" s="799"/>
      <c r="F171" s="323">
        <v>23000000</v>
      </c>
      <c r="G171"/>
      <c r="H171"/>
    </row>
    <row r="172" spans="3:8">
      <c r="C172" s="794"/>
      <c r="D172" s="800" t="s">
        <v>335</v>
      </c>
      <c r="E172" s="801"/>
      <c r="F172" s="324">
        <f>محاسبات!D75</f>
        <v>7199449.5180334719</v>
      </c>
      <c r="G172"/>
      <c r="H172"/>
    </row>
    <row r="173" spans="3:8" ht="23.25" thickBot="1">
      <c r="C173" s="794"/>
      <c r="D173" s="802" t="s">
        <v>336</v>
      </c>
      <c r="E173" s="803"/>
      <c r="F173" s="325">
        <f>محاسبات!D74</f>
        <v>620000</v>
      </c>
      <c r="G173"/>
      <c r="H173"/>
    </row>
    <row r="174" spans="3:8" ht="24.75" thickBot="1">
      <c r="C174" s="795"/>
      <c r="D174" s="804" t="s">
        <v>9</v>
      </c>
      <c r="E174" s="805"/>
      <c r="F174" s="322">
        <f>F171+F172+F173</f>
        <v>30819449.518033471</v>
      </c>
      <c r="G174"/>
      <c r="H174"/>
    </row>
    <row r="175" spans="3:8">
      <c r="C175"/>
      <c r="D175"/>
      <c r="E175"/>
      <c r="F175"/>
      <c r="G175"/>
      <c r="H175"/>
    </row>
    <row r="176" spans="3:8" ht="23.25" thickBot="1">
      <c r="C176"/>
      <c r="D176"/>
      <c r="E176"/>
      <c r="F176"/>
      <c r="G176"/>
      <c r="H176"/>
    </row>
    <row r="177" spans="3:11">
      <c r="C177" s="278" t="str">
        <f>IF(محاسبات!E137&gt;30,محاسبات!B97,محاسبات!B98)</f>
        <v>قابل توجه</v>
      </c>
      <c r="D177" s="788" t="str">
        <f>IF(محاسبات!E137&gt;30,محاسبات!C97,محاسبات!C96)</f>
        <v>در قسمت ورود اطلاعات، سنوات خدمت را بیش از ۳۰ سال وارد نموده اید، سیستم بصورت خودکار ۳۰ سال را محاسبه خواهد نمود.</v>
      </c>
      <c r="E177" s="788"/>
      <c r="F177" s="788"/>
      <c r="G177" s="788"/>
      <c r="H177" s="788"/>
      <c r="I177" s="788"/>
      <c r="J177" s="788"/>
      <c r="K177" s="788"/>
    </row>
    <row r="178" spans="3:11">
      <c r="C178" s="279" t="str">
        <f>IF(محاسبات!E139&gt;30,محاسبات!B97,محاسبات!B96)</f>
        <v>قابل توجه</v>
      </c>
      <c r="D178" s="789" t="str">
        <f>IF(محاسبات!E139&gt;30,محاسبات!C98,محاسبات!C96)</f>
        <v>در قسمت ورود اطلاعات، تجربه مربوط و مشابه را بیش از ۳۰ سال وارد نموده اید، سیستم بصورت خودکار ۳۰ سال محاسبه خواهد نمود.</v>
      </c>
      <c r="E178" s="789"/>
      <c r="F178" s="789"/>
      <c r="G178" s="789"/>
      <c r="H178" s="789"/>
      <c r="I178" s="789"/>
      <c r="J178" s="789"/>
      <c r="K178" s="789"/>
    </row>
    <row r="179" spans="3:11">
      <c r="C179" s="279">
        <f>IF('جدول محاسبه حق شاغل'!E16&gt;'جدول محاسبه حق شاغل'!E17,محاسبات!B97,محاسبات!B96)</f>
        <v>0</v>
      </c>
      <c r="D179" s="789">
        <f>IF('جدول محاسبه حق شاغل'!E16&gt;'جدول محاسبه حق شاغل'!E17,محاسبات!C99,محاسبات!C96)</f>
        <v>0</v>
      </c>
      <c r="E179" s="789"/>
      <c r="F179" s="789"/>
      <c r="G179" s="789"/>
      <c r="H179" s="789"/>
      <c r="I179" s="789"/>
      <c r="J179" s="789"/>
      <c r="K179" s="789"/>
    </row>
    <row r="180" spans="3:11" ht="23.25" thickBot="1">
      <c r="C180" s="280">
        <f>IF('کاربرگ ورود اطلاعات'!I9&gt;1000,محاسبات!B97,محاسبات!B96)</f>
        <v>0</v>
      </c>
      <c r="D180" s="787">
        <f>IF('کاربرگ ورود اطلاعات'!I9&gt;1000,محاسبات!C100,محاسبات!C96)</f>
        <v>0</v>
      </c>
      <c r="E180" s="787"/>
      <c r="F180" s="787"/>
      <c r="G180" s="787"/>
      <c r="H180" s="787"/>
      <c r="I180" s="787"/>
      <c r="J180" s="787"/>
      <c r="K180" s="787"/>
    </row>
  </sheetData>
  <mergeCells count="50">
    <mergeCell ref="B109:H109"/>
    <mergeCell ref="F126:G126"/>
    <mergeCell ref="D128:E128"/>
    <mergeCell ref="B126:D126"/>
    <mergeCell ref="C130:H131"/>
    <mergeCell ref="B130:B131"/>
    <mergeCell ref="C105:F105"/>
    <mergeCell ref="C106:F106"/>
    <mergeCell ref="C107:F107"/>
    <mergeCell ref="C57:D57"/>
    <mergeCell ref="C58:D58"/>
    <mergeCell ref="D88:E88"/>
    <mergeCell ref="C65:D65"/>
    <mergeCell ref="P23:Q23"/>
    <mergeCell ref="K23:L23"/>
    <mergeCell ref="O25:Q25"/>
    <mergeCell ref="O26:Q26"/>
    <mergeCell ref="C48:D48"/>
    <mergeCell ref="C53:D53"/>
    <mergeCell ref="C63:D63"/>
    <mergeCell ref="C64:D64"/>
    <mergeCell ref="A3:B3"/>
    <mergeCell ref="AH29:AI29"/>
    <mergeCell ref="K25:L25"/>
    <mergeCell ref="K24:L24"/>
    <mergeCell ref="N10:O10"/>
    <mergeCell ref="Q10:R10"/>
    <mergeCell ref="Q11:R11"/>
    <mergeCell ref="Q12:R12"/>
    <mergeCell ref="Q13:R13"/>
    <mergeCell ref="N11:O11"/>
    <mergeCell ref="A22:B22"/>
    <mergeCell ref="D17:E17"/>
    <mergeCell ref="O18:R18"/>
    <mergeCell ref="H142:I142"/>
    <mergeCell ref="H143:I143"/>
    <mergeCell ref="G148:H148"/>
    <mergeCell ref="G147:H147"/>
    <mergeCell ref="C159:F159"/>
    <mergeCell ref="D180:K180"/>
    <mergeCell ref="D177:K177"/>
    <mergeCell ref="D178:K178"/>
    <mergeCell ref="D179:K179"/>
    <mergeCell ref="C169:F169"/>
    <mergeCell ref="C170:C174"/>
    <mergeCell ref="D170:E170"/>
    <mergeCell ref="D171:E171"/>
    <mergeCell ref="D172:E172"/>
    <mergeCell ref="D173:E173"/>
    <mergeCell ref="D174:E174"/>
  </mergeCells>
  <dataValidations count="14">
    <dataValidation type="list" allowBlank="1" showInputMessage="1" showErrorMessage="1" sqref="B33 B145 B140:B141 B135 G134 E146">
      <formula1>$F$1:$F$2</formula1>
    </dataValidation>
    <dataValidation type="list" allowBlank="1" showInputMessage="1" showErrorMessage="1" sqref="B134">
      <formula1>$C$1:$C$2</formula1>
    </dataValidation>
    <dataValidation type="list" allowBlank="1" showInputMessage="1" showErrorMessage="1" sqref="B146">
      <formula1>$C$54:$C$56</formula1>
    </dataValidation>
    <dataValidation type="list" allowBlank="1" showInputMessage="1" showErrorMessage="1" sqref="B144">
      <formula1>$C$46:$C$47</formula1>
    </dataValidation>
    <dataValidation type="list" allowBlank="1" showInputMessage="1" showErrorMessage="1" sqref="B148">
      <formula1>$H$1:$H$5</formula1>
    </dataValidation>
    <dataValidation type="list" allowBlank="1" showInputMessage="1" showErrorMessage="1" sqref="B143 B147">
      <formula1>$H$1:$H$32</formula1>
    </dataValidation>
    <dataValidation type="list" allowBlank="1" showInputMessage="1" showErrorMessage="1" sqref="B136">
      <formula1>$H$1:$H$10</formula1>
    </dataValidation>
    <dataValidation type="list" allowBlank="1" showInputMessage="1" showErrorMessage="1" sqref="B139 E151:E152">
      <formula1>$H$1:$H$11</formula1>
    </dataValidation>
    <dataValidation type="list" allowBlank="1" showInputMessage="1" showErrorMessage="1" sqref="G135">
      <formula1>$AH$17:$AH$28</formula1>
    </dataValidation>
    <dataValidation type="list" allowBlank="1" showInputMessage="1" showErrorMessage="1" sqref="E139 E137">
      <formula1>$H$1:$H$36</formula1>
    </dataValidation>
    <dataValidation type="list" allowBlank="1" showInputMessage="1" showErrorMessage="1" sqref="E140 E138">
      <formula1>$H$1:$H$12</formula1>
    </dataValidation>
    <dataValidation type="list" allowBlank="1" showInputMessage="1" showErrorMessage="1" sqref="E142">
      <formula1>$D$1:$D$4</formula1>
    </dataValidation>
    <dataValidation type="list" allowBlank="1" showInputMessage="1" showErrorMessage="1" sqref="E148">
      <formula1>$K$2:$K$17</formula1>
    </dataValidation>
    <dataValidation type="list" allowBlank="1" showInputMessage="1" showErrorMessage="1" sqref="E149">
      <formula1>$K$18:$K$22</formula1>
    </dataValidation>
  </dataValidations>
  <hyperlinks>
    <hyperlink ref="G147" r:id="rId1"/>
    <hyperlink ref="G148" r:id="rId2"/>
  </hyperlinks>
  <pageMargins left="0.7" right="0.7" top="0.75" bottom="0.75" header="0.3" footer="0.3"/>
  <pageSetup paperSize="9" orientation="portrait"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G45"/>
  <sheetViews>
    <sheetView rightToLeft="1" zoomScaleNormal="100" workbookViewId="0">
      <selection activeCell="F15" sqref="F15"/>
    </sheetView>
  </sheetViews>
  <sheetFormatPr defaultColWidth="9.125" defaultRowHeight="18"/>
  <cols>
    <col min="1" max="1" width="33.375" style="329" customWidth="1"/>
    <col min="2" max="2" width="13.75" style="329" customWidth="1"/>
    <col min="3" max="3" width="12.625" style="329" customWidth="1"/>
    <col min="4" max="4" width="6.125" style="329" customWidth="1"/>
    <col min="5" max="5" width="9.125" style="329" customWidth="1"/>
    <col min="6" max="6" width="8.25" style="329" customWidth="1"/>
    <col min="7" max="7" width="13.625" style="329" customWidth="1"/>
    <col min="8" max="16384" width="9.125" style="329"/>
  </cols>
  <sheetData>
    <row r="1" spans="1:7">
      <c r="A1" s="889"/>
      <c r="B1" s="891" t="s">
        <v>339</v>
      </c>
      <c r="C1" s="891"/>
      <c r="D1" s="891"/>
      <c r="E1" s="331"/>
      <c r="F1" s="331"/>
      <c r="G1" s="331"/>
    </row>
    <row r="2" spans="1:7" ht="27.75" customHeight="1">
      <c r="A2" s="889"/>
      <c r="B2" s="892" t="s">
        <v>340</v>
      </c>
      <c r="C2" s="892"/>
      <c r="D2" s="892"/>
      <c r="E2" s="894"/>
      <c r="F2" s="894"/>
      <c r="G2" s="331"/>
    </row>
    <row r="3" spans="1:7" ht="18.75" thickBot="1">
      <c r="A3" s="890"/>
      <c r="B3" s="893" t="s">
        <v>341</v>
      </c>
      <c r="C3" s="893"/>
      <c r="D3" s="893"/>
      <c r="E3" s="348">
        <f>ROUND(محاسبات!G142,2)</f>
        <v>7.35</v>
      </c>
      <c r="F3" s="924" t="s">
        <v>237</v>
      </c>
      <c r="G3" s="924"/>
    </row>
    <row r="4" spans="1:7">
      <c r="A4" s="881" t="s">
        <v>342</v>
      </c>
      <c r="B4" s="882"/>
      <c r="C4" s="883" t="s">
        <v>343</v>
      </c>
      <c r="D4" s="884"/>
      <c r="E4" s="884"/>
      <c r="F4" s="884"/>
      <c r="G4" s="885"/>
    </row>
    <row r="5" spans="1:7">
      <c r="A5" s="332" t="s">
        <v>344</v>
      </c>
      <c r="B5" s="895" t="s">
        <v>345</v>
      </c>
      <c r="C5" s="896"/>
      <c r="D5" s="897"/>
      <c r="E5" s="898" t="s">
        <v>346</v>
      </c>
      <c r="F5" s="899"/>
      <c r="G5" s="900"/>
    </row>
    <row r="6" spans="1:7">
      <c r="A6" s="332" t="s">
        <v>347</v>
      </c>
      <c r="B6" s="895" t="s">
        <v>348</v>
      </c>
      <c r="C6" s="896"/>
      <c r="D6" s="896"/>
      <c r="E6" s="901" t="str">
        <f>"10"&amp;" - "&amp;"مدرک تحصیلی :    "&amp;'کاربرگ ورود اطلاعات'!I8</f>
        <v>10 - مدرک تحصیلی :    لیسانس</v>
      </c>
      <c r="F6" s="901"/>
      <c r="G6" s="902"/>
    </row>
    <row r="7" spans="1:7">
      <c r="A7" s="342" t="s">
        <v>349</v>
      </c>
      <c r="B7" s="895" t="s">
        <v>350</v>
      </c>
      <c r="C7" s="896"/>
      <c r="D7" s="896"/>
      <c r="E7" s="901" t="str">
        <f>" جنسیت :      "&amp;'کاربرگ ورود اطلاعات'!I5</f>
        <v xml:space="preserve"> جنسیت :      مرد</v>
      </c>
      <c r="F7" s="901"/>
      <c r="G7" s="902"/>
    </row>
    <row r="8" spans="1:7">
      <c r="A8" s="903" t="s">
        <v>351</v>
      </c>
      <c r="B8" s="896"/>
      <c r="C8" s="896"/>
      <c r="D8" s="896"/>
      <c r="E8" s="896"/>
      <c r="F8" s="896" t="s">
        <v>352</v>
      </c>
      <c r="G8" s="904"/>
    </row>
    <row r="9" spans="1:7">
      <c r="A9" s="341" t="s">
        <v>386</v>
      </c>
      <c r="B9" s="905" t="s">
        <v>387</v>
      </c>
      <c r="C9" s="905"/>
      <c r="D9" s="896">
        <f>محاسبات!E148</f>
        <v>8</v>
      </c>
      <c r="E9" s="896"/>
      <c r="F9" s="330" t="s">
        <v>353</v>
      </c>
      <c r="G9" s="343" t="str">
        <f>محاسبات!E149</f>
        <v>عالی</v>
      </c>
    </row>
    <row r="10" spans="1:7">
      <c r="A10" s="903" t="str">
        <f>"۱۳"&amp;" - "&amp;"سنوات قابل قبول :       "&amp;محاسبات!E137&amp;" سال و  "&amp;محاسبات!E138&amp;" ماه و  "&amp;" ۰ "&amp;"روز"</f>
        <v>۱۳ - سنوات قابل قبول :       1399 سال و  0 ماه و   ۰ روز</v>
      </c>
      <c r="B10" s="897"/>
      <c r="C10" s="895" t="s">
        <v>354</v>
      </c>
      <c r="D10" s="896"/>
      <c r="E10" s="896"/>
      <c r="F10" s="896"/>
      <c r="G10" s="904"/>
    </row>
    <row r="11" spans="1:7">
      <c r="A11" s="903" t="s">
        <v>390</v>
      </c>
      <c r="B11" s="896"/>
      <c r="C11" s="896"/>
      <c r="D11" s="896"/>
      <c r="E11" s="896"/>
      <c r="F11" s="896"/>
      <c r="G11" s="904"/>
    </row>
    <row r="12" spans="1:7">
      <c r="A12" s="903" t="s">
        <v>355</v>
      </c>
      <c r="B12" s="897"/>
      <c r="C12" s="347" t="s">
        <v>393</v>
      </c>
      <c r="D12" s="346"/>
      <c r="E12" s="896" t="str">
        <f>IF(محاسبات!E142="خیر","  -  ",محاسبات!E142)</f>
        <v xml:space="preserve">  -  </v>
      </c>
      <c r="F12" s="896"/>
      <c r="G12" s="904"/>
    </row>
    <row r="13" spans="1:7" ht="18.75" thickBot="1">
      <c r="A13" s="927" t="str">
        <f>"۱۸"&amp;" - "&amp;"وضعیت تاهل :   "&amp;'کاربرگ ورود اطلاعات'!I6&amp;"                    "&amp;"تعداد فرزند :    "&amp;'کاربرگ ورود اطلاعات'!I7</f>
        <v>۱۸ - وضعیت تاهل :   مجرد                    تعداد فرزند :    0</v>
      </c>
      <c r="B13" s="928"/>
      <c r="C13" s="906" t="s">
        <v>391</v>
      </c>
      <c r="D13" s="907"/>
      <c r="E13" s="907"/>
      <c r="F13" s="907"/>
      <c r="G13" s="908"/>
    </row>
    <row r="14" spans="1:7">
      <c r="A14" s="909" t="s">
        <v>356</v>
      </c>
      <c r="B14" s="910"/>
      <c r="C14" s="911" t="s">
        <v>357</v>
      </c>
      <c r="D14" s="912"/>
      <c r="E14" s="913"/>
      <c r="F14" s="344" t="s">
        <v>1</v>
      </c>
      <c r="G14" s="345" t="s">
        <v>37</v>
      </c>
    </row>
    <row r="15" spans="1:7" ht="18.75">
      <c r="A15" s="925" t="str">
        <f>"در اجرای تصویب نامه شماره 32051/ت55313ه مورخ 1397/03/19 هیات وزیران از تاریخ اجرای این حکم میزان ضریب حقوق 1797 ریال برای سال 97 قابل احتساب می باشد. همچنین مبلغ   " &amp;حکم!D28&amp; "  ریال افزایش ناشی از اعمال ضریب تعدیل به میزان  "&amp;E3 &amp;"   درصد در حکم فوق اعمال گردیده است."</f>
        <v>در اجرای تصویب نامه شماره 32051/ت55313ه مورخ 1397/03/19 هیات وزیران از تاریخ اجرای این حکم میزان ضریب حقوق 1797 ریال برای سال 97 قابل احتساب می باشد. همچنین مبلغ   1344092  ریال افزایش ناشی از اعمال ضریب تعدیل به میزان  7/35   درصد در حکم فوق اعمال گردیده است.</v>
      </c>
      <c r="B15" s="926"/>
      <c r="C15" s="914" t="s">
        <v>358</v>
      </c>
      <c r="D15" s="917" t="s">
        <v>6</v>
      </c>
      <c r="E15" s="918"/>
      <c r="F15" s="339">
        <f>حکم!B5</f>
        <v>5400</v>
      </c>
      <c r="G15" s="337">
        <f>حکم!E5</f>
        <v>10417477.382668801</v>
      </c>
    </row>
    <row r="16" spans="1:7" ht="18.75">
      <c r="A16" s="925"/>
      <c r="B16" s="926"/>
      <c r="C16" s="915"/>
      <c r="D16" s="917" t="s">
        <v>7</v>
      </c>
      <c r="E16" s="918"/>
      <c r="F16" s="339">
        <f>Sheet1!I165</f>
        <v>0</v>
      </c>
      <c r="G16" s="337">
        <f>حکم!E6</f>
        <v>0</v>
      </c>
    </row>
    <row r="17" spans="1:7" ht="18.75">
      <c r="A17" s="925"/>
      <c r="B17" s="926"/>
      <c r="C17" s="915"/>
      <c r="D17" s="917" t="s">
        <v>8</v>
      </c>
      <c r="E17" s="918"/>
      <c r="F17" s="339">
        <f>حکم!B7</f>
        <v>3270</v>
      </c>
      <c r="G17" s="337">
        <f>حکم!E7</f>
        <v>6308361.3039494399</v>
      </c>
    </row>
    <row r="18" spans="1:7" ht="18.75">
      <c r="A18" s="925"/>
      <c r="B18" s="926"/>
      <c r="C18" s="916"/>
      <c r="D18" s="917" t="s">
        <v>9</v>
      </c>
      <c r="E18" s="918"/>
      <c r="F18" s="339">
        <f>حکم!B8</f>
        <v>8670</v>
      </c>
      <c r="G18" s="337">
        <f>حکم!E8</f>
        <v>16725838.686618241</v>
      </c>
    </row>
    <row r="19" spans="1:7" ht="18.75">
      <c r="A19" s="925"/>
      <c r="B19" s="926"/>
      <c r="C19" s="919" t="s">
        <v>359</v>
      </c>
      <c r="D19" s="920"/>
      <c r="E19" s="918"/>
      <c r="F19" s="339">
        <f>حکم!B9</f>
        <v>0</v>
      </c>
      <c r="G19" s="337">
        <f>حکم!E9</f>
        <v>0</v>
      </c>
    </row>
    <row r="20" spans="1:7" ht="18.75">
      <c r="A20" s="925"/>
      <c r="B20" s="926"/>
      <c r="C20" s="919" t="s">
        <v>360</v>
      </c>
      <c r="D20" s="920"/>
      <c r="E20" s="918"/>
      <c r="F20" s="339">
        <f>حکم!B10</f>
        <v>1500</v>
      </c>
      <c r="G20" s="337">
        <f>حکم!E10</f>
        <v>2893743.717408</v>
      </c>
    </row>
    <row r="21" spans="1:7" ht="18.75">
      <c r="A21" s="925"/>
      <c r="B21" s="926"/>
      <c r="C21" s="919" t="s">
        <v>361</v>
      </c>
      <c r="D21" s="920"/>
      <c r="E21" s="918"/>
      <c r="F21" s="339">
        <f>حکم!B11</f>
        <v>0</v>
      </c>
      <c r="G21" s="337">
        <f>حکم!E11</f>
        <v>0</v>
      </c>
    </row>
    <row r="22" spans="1:7" ht="18.75">
      <c r="A22" s="925"/>
      <c r="B22" s="926"/>
      <c r="C22" s="919" t="s">
        <v>362</v>
      </c>
      <c r="D22" s="920"/>
      <c r="E22" s="918"/>
      <c r="F22" s="339">
        <f>حکم!B12</f>
        <v>0</v>
      </c>
      <c r="G22" s="337">
        <f>حکم!E12</f>
        <v>0</v>
      </c>
    </row>
    <row r="23" spans="1:7" ht="18.75">
      <c r="A23" s="925"/>
      <c r="B23" s="926"/>
      <c r="C23" s="919" t="s">
        <v>363</v>
      </c>
      <c r="D23" s="920"/>
      <c r="E23" s="918"/>
      <c r="F23" s="339">
        <f>حکم!B13</f>
        <v>0</v>
      </c>
      <c r="G23" s="337">
        <f>حکم!E13</f>
        <v>0</v>
      </c>
    </row>
    <row r="24" spans="1:7" ht="18.75">
      <c r="A24" s="909"/>
      <c r="B24" s="910"/>
      <c r="C24" s="919" t="s">
        <v>364</v>
      </c>
      <c r="D24" s="920"/>
      <c r="E24" s="918"/>
      <c r="F24" s="339">
        <f>حکم!B14</f>
        <v>0</v>
      </c>
      <c r="G24" s="337">
        <f>حکم!E14</f>
        <v>0</v>
      </c>
    </row>
    <row r="25" spans="1:7" ht="18.75">
      <c r="A25" s="909"/>
      <c r="B25" s="910"/>
      <c r="C25" s="919" t="s">
        <v>365</v>
      </c>
      <c r="D25" s="920"/>
      <c r="E25" s="918"/>
      <c r="F25" s="339">
        <f>حکم!B15</f>
        <v>0</v>
      </c>
      <c r="G25" s="337">
        <f>حکم!E15</f>
        <v>0</v>
      </c>
    </row>
    <row r="26" spans="1:7" ht="18.75">
      <c r="A26" s="909"/>
      <c r="B26" s="910"/>
      <c r="C26" s="919" t="s">
        <v>366</v>
      </c>
      <c r="D26" s="920"/>
      <c r="E26" s="918"/>
      <c r="F26" s="339">
        <f>حکم!B16</f>
        <v>0</v>
      </c>
      <c r="G26" s="337">
        <f>حکم!E16</f>
        <v>0</v>
      </c>
    </row>
    <row r="27" spans="1:7" ht="18.75">
      <c r="A27" s="909"/>
      <c r="B27" s="910"/>
      <c r="C27" s="919" t="s">
        <v>367</v>
      </c>
      <c r="D27" s="920"/>
      <c r="E27" s="918"/>
      <c r="F27" s="339">
        <f>حکم!B17</f>
        <v>0</v>
      </c>
      <c r="G27" s="337">
        <f>حکم!E17</f>
        <v>0</v>
      </c>
    </row>
    <row r="28" spans="1:7" ht="18.75">
      <c r="A28" s="333"/>
      <c r="B28" s="334"/>
      <c r="C28" s="903" t="s">
        <v>379</v>
      </c>
      <c r="D28" s="896"/>
      <c r="E28" s="897"/>
      <c r="F28" s="339">
        <f>حکم!B18</f>
        <v>0</v>
      </c>
      <c r="G28" s="337">
        <f>حکم!E18</f>
        <v>0</v>
      </c>
    </row>
    <row r="29" spans="1:7" ht="18.75">
      <c r="A29" s="909"/>
      <c r="B29" s="910"/>
      <c r="C29" s="919" t="s">
        <v>380</v>
      </c>
      <c r="D29" s="920"/>
      <c r="E29" s="918"/>
      <c r="F29" s="339">
        <f>حکم!B19</f>
        <v>0</v>
      </c>
      <c r="G29" s="337">
        <f>حکم!E19</f>
        <v>0</v>
      </c>
    </row>
    <row r="30" spans="1:7" ht="18.75">
      <c r="A30" s="909"/>
      <c r="B30" s="910"/>
      <c r="C30" s="919" t="s">
        <v>381</v>
      </c>
      <c r="D30" s="920"/>
      <c r="E30" s="918"/>
      <c r="F30" s="339">
        <f>حکم!B20</f>
        <v>0</v>
      </c>
      <c r="G30" s="337">
        <f>حکم!E20</f>
        <v>0</v>
      </c>
    </row>
    <row r="31" spans="1:7" ht="18.75">
      <c r="A31" s="909"/>
      <c r="B31" s="910"/>
      <c r="C31" s="919" t="s">
        <v>382</v>
      </c>
      <c r="D31" s="920"/>
      <c r="E31" s="918"/>
      <c r="F31" s="339">
        <f>حکم!B21</f>
        <v>0</v>
      </c>
      <c r="G31" s="337">
        <f>حکم!E21</f>
        <v>0</v>
      </c>
    </row>
    <row r="32" spans="1:7" ht="18.75">
      <c r="A32" s="909"/>
      <c r="B32" s="910"/>
      <c r="C32" s="919" t="s">
        <v>383</v>
      </c>
      <c r="D32" s="920"/>
      <c r="E32" s="918"/>
      <c r="F32" s="339">
        <f>حکم!B22</f>
        <v>0</v>
      </c>
      <c r="G32" s="337">
        <f>حکم!E22</f>
        <v>0</v>
      </c>
    </row>
    <row r="33" spans="1:7" ht="18.75">
      <c r="A33" s="909"/>
      <c r="B33" s="910"/>
      <c r="C33" s="919" t="s">
        <v>384</v>
      </c>
      <c r="D33" s="920"/>
      <c r="E33" s="918"/>
      <c r="F33" s="339">
        <f>حکم!B23</f>
        <v>0</v>
      </c>
      <c r="G33" s="337">
        <f>حکم!E23</f>
        <v>0</v>
      </c>
    </row>
    <row r="34" spans="1:7" ht="18.75">
      <c r="A34" s="909"/>
      <c r="B34" s="910"/>
      <c r="C34" s="919" t="s">
        <v>385</v>
      </c>
      <c r="D34" s="920"/>
      <c r="E34" s="918"/>
      <c r="F34" s="339">
        <f>حکم!B24</f>
        <v>0</v>
      </c>
      <c r="G34" s="337">
        <f>حکم!E24</f>
        <v>0</v>
      </c>
    </row>
    <row r="35" spans="1:7" ht="19.5" thickBot="1">
      <c r="A35" s="909"/>
      <c r="B35" s="910"/>
      <c r="C35" s="935" t="s">
        <v>368</v>
      </c>
      <c r="D35" s="936"/>
      <c r="E35" s="937"/>
      <c r="F35" s="340">
        <f>حکم!B25</f>
        <v>10170</v>
      </c>
      <c r="G35" s="338">
        <f>حکم!E25</f>
        <v>19619582.40402624</v>
      </c>
    </row>
    <row r="36" spans="1:7">
      <c r="A36" s="921" t="str">
        <f>"22 - حقوق و فوق العاده های مندرج در حکم جمعا به مبلغ :   "&amp;حکم!E28&amp;" ریال  "</f>
        <v xml:space="preserve">22 - حقوق و فوق العاده های مندرج در حکم جمعا به مبلغ :   19619582 ریال  </v>
      </c>
      <c r="B36" s="899"/>
      <c r="C36" s="910"/>
      <c r="D36" s="910"/>
      <c r="E36" s="910"/>
      <c r="F36" s="910"/>
      <c r="G36" s="938"/>
    </row>
    <row r="37" spans="1:7">
      <c r="A37" s="939" t="s">
        <v>369</v>
      </c>
      <c r="B37" s="940"/>
      <c r="C37" s="940"/>
      <c r="D37" s="940"/>
      <c r="E37" s="940"/>
      <c r="F37" s="940"/>
      <c r="G37" s="941"/>
    </row>
    <row r="38" spans="1:7">
      <c r="A38" s="921" t="s">
        <v>388</v>
      </c>
      <c r="B38" s="899"/>
      <c r="C38" s="899"/>
      <c r="D38" s="899"/>
      <c r="E38" s="899"/>
      <c r="F38" s="899"/>
      <c r="G38" s="900"/>
    </row>
    <row r="39" spans="1:7" ht="18.75" thickBot="1">
      <c r="A39" s="333" t="s">
        <v>370</v>
      </c>
      <c r="B39" s="335"/>
      <c r="C39" s="335"/>
      <c r="D39" s="922" t="s">
        <v>371</v>
      </c>
      <c r="E39" s="922"/>
      <c r="F39" s="922"/>
      <c r="G39" s="923"/>
    </row>
    <row r="40" spans="1:7">
      <c r="A40" s="930" t="s">
        <v>372</v>
      </c>
      <c r="B40" s="931"/>
      <c r="C40" s="932"/>
      <c r="D40" s="932"/>
      <c r="E40" s="932"/>
      <c r="F40" s="932"/>
      <c r="G40" s="933"/>
    </row>
    <row r="41" spans="1:7">
      <c r="A41" s="909" t="s">
        <v>373</v>
      </c>
      <c r="B41" s="910"/>
      <c r="C41" s="335"/>
      <c r="D41" s="335"/>
      <c r="E41" s="335"/>
      <c r="F41" s="335"/>
      <c r="G41" s="336"/>
    </row>
    <row r="42" spans="1:7">
      <c r="A42" s="911" t="s">
        <v>374</v>
      </c>
      <c r="B42" s="912"/>
      <c r="C42" s="912" t="s">
        <v>375</v>
      </c>
      <c r="D42" s="912"/>
      <c r="E42" s="912"/>
      <c r="F42" s="912" t="s">
        <v>376</v>
      </c>
      <c r="G42" s="934"/>
    </row>
    <row r="43" spans="1:7">
      <c r="A43" s="921" t="s">
        <v>377</v>
      </c>
      <c r="B43" s="899"/>
      <c r="C43" s="899"/>
      <c r="D43" s="899"/>
      <c r="E43" s="899"/>
      <c r="F43" s="899"/>
      <c r="G43" s="900"/>
    </row>
    <row r="44" spans="1:7" ht="18.75" thickBot="1">
      <c r="A44" s="929" t="s">
        <v>378</v>
      </c>
      <c r="B44" s="922"/>
      <c r="C44" s="922"/>
      <c r="D44" s="922"/>
      <c r="E44" s="922"/>
      <c r="F44" s="922"/>
      <c r="G44" s="923"/>
    </row>
    <row r="45" spans="1:7" ht="21" customHeight="1">
      <c r="A45" s="886" t="s">
        <v>389</v>
      </c>
      <c r="B45" s="886"/>
      <c r="C45" s="886"/>
      <c r="D45" s="886"/>
      <c r="E45" s="887" t="s">
        <v>183</v>
      </c>
      <c r="F45" s="888"/>
      <c r="G45" s="888"/>
    </row>
  </sheetData>
  <mergeCells count="75">
    <mergeCell ref="F3:G3"/>
    <mergeCell ref="A15:B23"/>
    <mergeCell ref="A13:B13"/>
    <mergeCell ref="A43:G43"/>
    <mergeCell ref="A44:G44"/>
    <mergeCell ref="C28:E28"/>
    <mergeCell ref="A40:B40"/>
    <mergeCell ref="C40:G40"/>
    <mergeCell ref="A41:B41"/>
    <mergeCell ref="A42:B42"/>
    <mergeCell ref="C42:E42"/>
    <mergeCell ref="F42:G42"/>
    <mergeCell ref="A35:B35"/>
    <mergeCell ref="C35:E35"/>
    <mergeCell ref="A36:G36"/>
    <mergeCell ref="A37:G37"/>
    <mergeCell ref="A38:G38"/>
    <mergeCell ref="D39:G39"/>
    <mergeCell ref="A32:B32"/>
    <mergeCell ref="C32:E32"/>
    <mergeCell ref="A33:B33"/>
    <mergeCell ref="C33:E33"/>
    <mergeCell ref="A34:B34"/>
    <mergeCell ref="C34:E34"/>
    <mergeCell ref="A29:B29"/>
    <mergeCell ref="C29:E29"/>
    <mergeCell ref="A30:B30"/>
    <mergeCell ref="C30:E30"/>
    <mergeCell ref="A31:B31"/>
    <mergeCell ref="C31:E31"/>
    <mergeCell ref="A25:B25"/>
    <mergeCell ref="C25:E25"/>
    <mergeCell ref="A26:B26"/>
    <mergeCell ref="C26:E26"/>
    <mergeCell ref="A27:B27"/>
    <mergeCell ref="C27:E27"/>
    <mergeCell ref="C22:E22"/>
    <mergeCell ref="C23:E23"/>
    <mergeCell ref="A24:B24"/>
    <mergeCell ref="C24:E24"/>
    <mergeCell ref="C19:E19"/>
    <mergeCell ref="C20:E20"/>
    <mergeCell ref="C21:E21"/>
    <mergeCell ref="C15:C18"/>
    <mergeCell ref="D15:E15"/>
    <mergeCell ref="D16:E16"/>
    <mergeCell ref="D17:E17"/>
    <mergeCell ref="D18:E18"/>
    <mergeCell ref="A11:G11"/>
    <mergeCell ref="A12:B12"/>
    <mergeCell ref="C13:G13"/>
    <mergeCell ref="A14:B14"/>
    <mergeCell ref="C14:E14"/>
    <mergeCell ref="E12:G12"/>
    <mergeCell ref="F8:G8"/>
    <mergeCell ref="B9:C9"/>
    <mergeCell ref="D9:E9"/>
    <mergeCell ref="A10:B10"/>
    <mergeCell ref="C10:G10"/>
    <mergeCell ref="A4:B4"/>
    <mergeCell ref="C4:G4"/>
    <mergeCell ref="A45:D45"/>
    <mergeCell ref="E45:G45"/>
    <mergeCell ref="A1:A3"/>
    <mergeCell ref="B1:D1"/>
    <mergeCell ref="B2:D2"/>
    <mergeCell ref="B3:D3"/>
    <mergeCell ref="E2:F2"/>
    <mergeCell ref="B5:D5"/>
    <mergeCell ref="E5:G5"/>
    <mergeCell ref="B6:D6"/>
    <mergeCell ref="E6:G6"/>
    <mergeCell ref="B7:D7"/>
    <mergeCell ref="E7:G7"/>
    <mergeCell ref="A8:E8"/>
  </mergeCells>
  <hyperlinks>
    <hyperlink ref="F3" r:id="rId1"/>
    <hyperlink ref="E45" r:id="rId2"/>
  </hyperlinks>
  <printOptions horizontalCentered="1" verticalCentered="1"/>
  <pageMargins left="0.31496062992125984" right="0.31496062992125984" top="0.39370078740157483" bottom="0.15748031496062992" header="0" footer="0"/>
  <pageSetup paperSize="9" scale="92"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DY173"/>
  <sheetViews>
    <sheetView rightToLeft="1" topLeftCell="A164" workbookViewId="0">
      <selection activeCell="F179" sqref="F179"/>
    </sheetView>
  </sheetViews>
  <sheetFormatPr defaultRowHeight="14.25"/>
  <cols>
    <col min="2" max="2" width="16.5" bestFit="1" customWidth="1"/>
    <col min="3" max="3" width="11.125" customWidth="1"/>
    <col min="6" max="6" width="11.25" customWidth="1"/>
  </cols>
  <sheetData>
    <row r="1" spans="1:21">
      <c r="A1" s="424">
        <v>0</v>
      </c>
      <c r="B1" s="424">
        <v>0</v>
      </c>
      <c r="C1" s="424">
        <v>0</v>
      </c>
      <c r="M1" t="s">
        <v>109</v>
      </c>
      <c r="O1" s="424">
        <v>0</v>
      </c>
    </row>
    <row r="2" spans="1:21">
      <c r="A2" s="424">
        <v>1</v>
      </c>
      <c r="B2" s="424">
        <v>1</v>
      </c>
      <c r="C2" s="424">
        <v>1360</v>
      </c>
      <c r="M2" t="s">
        <v>110</v>
      </c>
      <c r="O2" s="424">
        <v>1</v>
      </c>
    </row>
    <row r="3" spans="1:21">
      <c r="A3" s="424">
        <v>2</v>
      </c>
      <c r="B3" s="424">
        <v>2</v>
      </c>
      <c r="C3" s="424">
        <v>1361</v>
      </c>
      <c r="M3" t="s">
        <v>111</v>
      </c>
      <c r="O3" s="424">
        <v>2</v>
      </c>
    </row>
    <row r="4" spans="1:21" ht="15" thickBot="1">
      <c r="A4" s="424">
        <v>3</v>
      </c>
      <c r="B4" s="424">
        <v>3</v>
      </c>
      <c r="C4" s="424">
        <v>1362</v>
      </c>
      <c r="M4" t="s">
        <v>112</v>
      </c>
      <c r="O4" s="424">
        <v>3</v>
      </c>
    </row>
    <row r="5" spans="1:21" ht="22.5">
      <c r="A5" s="424">
        <v>4</v>
      </c>
      <c r="B5" s="424">
        <v>4</v>
      </c>
      <c r="C5" s="424">
        <v>1363</v>
      </c>
      <c r="G5" s="365" t="s">
        <v>70</v>
      </c>
      <c r="H5" s="366" t="s">
        <v>1</v>
      </c>
      <c r="I5" s="26"/>
      <c r="M5" t="s">
        <v>113</v>
      </c>
      <c r="O5" s="424">
        <v>4</v>
      </c>
    </row>
    <row r="6" spans="1:21" ht="22.5">
      <c r="A6" s="424">
        <v>5</v>
      </c>
      <c r="B6" s="424">
        <v>5</v>
      </c>
      <c r="C6" s="424">
        <v>1364</v>
      </c>
      <c r="G6" s="481">
        <v>1</v>
      </c>
      <c r="H6" s="30">
        <v>2400</v>
      </c>
      <c r="I6" s="66">
        <v>0</v>
      </c>
      <c r="M6" t="s">
        <v>469</v>
      </c>
      <c r="O6" s="424">
        <v>5</v>
      </c>
    </row>
    <row r="7" spans="1:21" ht="23.25" thickBot="1">
      <c r="A7" s="424">
        <v>6</v>
      </c>
      <c r="B7" s="424">
        <v>6</v>
      </c>
      <c r="C7" s="424">
        <v>1365</v>
      </c>
      <c r="G7" s="481">
        <v>2</v>
      </c>
      <c r="H7" s="30">
        <v>2600</v>
      </c>
      <c r="I7" s="66">
        <v>0</v>
      </c>
      <c r="O7" s="424">
        <v>6</v>
      </c>
    </row>
    <row r="8" spans="1:21" ht="24" thickTop="1" thickBot="1">
      <c r="A8" s="424">
        <v>7</v>
      </c>
      <c r="B8" s="424">
        <v>7</v>
      </c>
      <c r="C8" s="424">
        <v>1366</v>
      </c>
      <c r="G8" s="481">
        <v>3</v>
      </c>
      <c r="H8" s="30">
        <v>2800</v>
      </c>
      <c r="I8" s="66">
        <f>IF(Sheet1!F61=Sheet1!J8,H8,0)</f>
        <v>0</v>
      </c>
      <c r="J8" t="s">
        <v>109</v>
      </c>
      <c r="K8" s="424">
        <f>IF(J8=Sheet1!F61,G8,0)</f>
        <v>0</v>
      </c>
      <c r="O8" s="424">
        <v>7</v>
      </c>
      <c r="Q8" s="480">
        <f>Y92</f>
        <v>1399</v>
      </c>
      <c r="R8" s="480" t="s">
        <v>109</v>
      </c>
      <c r="S8" s="480" t="s">
        <v>111</v>
      </c>
    </row>
    <row r="9" spans="1:21" ht="24" thickTop="1" thickBot="1">
      <c r="A9" s="424">
        <v>8</v>
      </c>
      <c r="B9" s="424">
        <v>8</v>
      </c>
      <c r="C9" s="424">
        <v>1367</v>
      </c>
      <c r="G9" s="481">
        <v>4</v>
      </c>
      <c r="H9" s="30">
        <v>3000</v>
      </c>
      <c r="I9" s="66">
        <f>IF(Sheet1!F61=Sheet1!J9,H9,0)</f>
        <v>0</v>
      </c>
      <c r="J9" t="s">
        <v>110</v>
      </c>
      <c r="K9" s="424">
        <f>IF(J9=Sheet1!F61,G9,0)</f>
        <v>0</v>
      </c>
      <c r="O9" s="424">
        <v>8</v>
      </c>
      <c r="Q9" s="480" t="s">
        <v>471</v>
      </c>
      <c r="R9" s="480">
        <f>IF(T9&gt;5,5,T9)</f>
        <v>5</v>
      </c>
      <c r="S9" s="480">
        <f>IF(U9&gt;6,6,U9)</f>
        <v>6</v>
      </c>
      <c r="T9" s="480">
        <f>INT(AH46/5)</f>
        <v>279</v>
      </c>
      <c r="U9" s="480">
        <f>INT(AH46/4)</f>
        <v>349</v>
      </c>
    </row>
    <row r="10" spans="1:21" ht="24" thickTop="1" thickBot="1">
      <c r="A10" s="424">
        <v>9</v>
      </c>
      <c r="B10" s="424">
        <v>9</v>
      </c>
      <c r="C10" s="424">
        <v>1368</v>
      </c>
      <c r="G10" s="481">
        <v>5</v>
      </c>
      <c r="H10" s="30">
        <v>3200</v>
      </c>
      <c r="I10" s="66">
        <f>IF(Sheet1!F61=Sheet1!J10,H10,0)</f>
        <v>3200</v>
      </c>
      <c r="J10" t="s">
        <v>111</v>
      </c>
      <c r="K10" s="424">
        <f>IF(J10=Sheet1!F61,G10,0)</f>
        <v>5</v>
      </c>
      <c r="O10" s="424">
        <v>9</v>
      </c>
      <c r="Q10" s="480" t="s">
        <v>1</v>
      </c>
      <c r="R10" s="480" t="b">
        <f>OR(Sheet1!F61=Sheet1!J8,Sheet1!F61=Sheet1!J9)</f>
        <v>0</v>
      </c>
      <c r="S10" s="482">
        <f>IF(OR(Sheet1!F61=Sheet1!J8,Sheet1!F61=Sheet1!J9),R9*200,S9*200)</f>
        <v>1200</v>
      </c>
    </row>
    <row r="11" spans="1:21" ht="24" thickTop="1" thickBot="1">
      <c r="A11" s="424">
        <v>10</v>
      </c>
      <c r="B11" s="424">
        <v>10</v>
      </c>
      <c r="C11" s="424">
        <v>1369</v>
      </c>
      <c r="G11" s="481">
        <v>6</v>
      </c>
      <c r="H11" s="30">
        <v>3400</v>
      </c>
      <c r="I11" s="66">
        <f>IF(Sheet1!F61=Sheet1!J11,H11,0)</f>
        <v>0</v>
      </c>
      <c r="J11" t="s">
        <v>112</v>
      </c>
      <c r="K11" s="424">
        <f>IF(J11=Sheet1!F61,G11,0)</f>
        <v>0</v>
      </c>
      <c r="O11" s="424">
        <v>10</v>
      </c>
      <c r="Q11" s="947" t="s">
        <v>470</v>
      </c>
      <c r="R11" s="947"/>
      <c r="S11" s="480">
        <f>S10/200</f>
        <v>6</v>
      </c>
    </row>
    <row r="12" spans="1:21" ht="23.25" thickTop="1">
      <c r="A12" s="424">
        <v>11</v>
      </c>
      <c r="B12" s="424">
        <v>11</v>
      </c>
      <c r="C12" s="424">
        <v>1370</v>
      </c>
      <c r="G12" s="481">
        <v>7</v>
      </c>
      <c r="H12" s="30">
        <v>3600</v>
      </c>
      <c r="I12" s="66">
        <f>IF(Sheet1!F61=Sheet1!J12,H12,0)</f>
        <v>0</v>
      </c>
      <c r="J12" t="s">
        <v>113</v>
      </c>
      <c r="K12" s="424">
        <f>IF(J12=Sheet1!F61,G12,0)</f>
        <v>0</v>
      </c>
      <c r="O12" s="424">
        <v>11</v>
      </c>
    </row>
    <row r="13" spans="1:21" ht="23.25" thickBot="1">
      <c r="A13" s="424">
        <v>12</v>
      </c>
      <c r="B13" s="424">
        <v>12</v>
      </c>
      <c r="C13" s="424">
        <v>1371</v>
      </c>
      <c r="G13" s="481">
        <v>8</v>
      </c>
      <c r="H13" s="30">
        <v>3800</v>
      </c>
      <c r="I13" s="66">
        <f>IF(Sheet1!F61=Sheet1!J13,H13,0)</f>
        <v>0</v>
      </c>
      <c r="J13" t="s">
        <v>469</v>
      </c>
      <c r="K13" s="424">
        <f>IF(J13=Sheet1!F61,G13,0)</f>
        <v>0</v>
      </c>
      <c r="O13" s="424">
        <v>12</v>
      </c>
    </row>
    <row r="14" spans="1:21" ht="24" thickTop="1" thickBot="1">
      <c r="A14" s="424">
        <v>13</v>
      </c>
      <c r="B14" s="424"/>
      <c r="C14" s="424">
        <v>1372</v>
      </c>
      <c r="G14" s="481">
        <v>9</v>
      </c>
      <c r="H14" s="30">
        <v>4000</v>
      </c>
      <c r="I14" s="66">
        <v>0</v>
      </c>
      <c r="K14" s="475">
        <f>SUM(K8:K13)</f>
        <v>5</v>
      </c>
      <c r="L14" s="475">
        <f>SUM(I6:I21)</f>
        <v>3200</v>
      </c>
      <c r="O14" s="424">
        <v>13</v>
      </c>
      <c r="Q14" s="480">
        <f>Y92</f>
        <v>1399</v>
      </c>
      <c r="R14" s="480" t="s">
        <v>109</v>
      </c>
      <c r="S14" s="480" t="s">
        <v>111</v>
      </c>
    </row>
    <row r="15" spans="1:21" ht="24" thickTop="1" thickBot="1">
      <c r="A15" s="424">
        <v>14</v>
      </c>
      <c r="B15" s="424"/>
      <c r="C15" s="424">
        <v>1373</v>
      </c>
      <c r="G15" s="481">
        <v>10</v>
      </c>
      <c r="H15" s="30">
        <v>4200</v>
      </c>
      <c r="I15" s="66">
        <v>0</v>
      </c>
      <c r="O15" s="424">
        <v>14</v>
      </c>
      <c r="Q15" s="480" t="s">
        <v>67</v>
      </c>
      <c r="R15" s="480">
        <f>IF(AND(AH46&gt;7,AH46&lt;20),1,0)</f>
        <v>0</v>
      </c>
      <c r="S15" s="480">
        <f>IF(AND(AH46&gt;5,AH46&lt;12),1,0)</f>
        <v>0</v>
      </c>
    </row>
    <row r="16" spans="1:21" ht="24" thickTop="1" thickBot="1">
      <c r="A16" s="424">
        <v>15</v>
      </c>
      <c r="B16" s="424"/>
      <c r="C16" s="424">
        <v>1374</v>
      </c>
      <c r="G16" s="481">
        <v>11</v>
      </c>
      <c r="H16" s="30">
        <v>4400</v>
      </c>
      <c r="I16" s="66">
        <v>0</v>
      </c>
      <c r="O16" s="424">
        <v>15</v>
      </c>
      <c r="Q16" s="480" t="s">
        <v>68</v>
      </c>
      <c r="R16" s="480">
        <f>IF(AH46&gt;19,2,0)</f>
        <v>2</v>
      </c>
      <c r="S16" s="480">
        <f>IF(AND(AH46&gt;11,AH46&lt;18),2,0)</f>
        <v>0</v>
      </c>
    </row>
    <row r="17" spans="1:24" ht="24" thickTop="1" thickBot="1">
      <c r="A17" s="424">
        <v>16</v>
      </c>
      <c r="B17" s="424"/>
      <c r="C17" s="424">
        <v>1375</v>
      </c>
      <c r="G17" s="481">
        <v>12</v>
      </c>
      <c r="H17" s="30">
        <v>4600</v>
      </c>
      <c r="I17" s="66">
        <v>0</v>
      </c>
      <c r="O17" s="424">
        <v>16</v>
      </c>
      <c r="Q17" s="480" t="s">
        <v>65</v>
      </c>
      <c r="R17" s="480">
        <v>0</v>
      </c>
      <c r="S17" s="480">
        <f>IF(AND(AH46&gt;17,AH46&lt;24),3,0)</f>
        <v>0</v>
      </c>
    </row>
    <row r="18" spans="1:24" ht="24" thickTop="1" thickBot="1">
      <c r="A18" s="424">
        <v>17</v>
      </c>
      <c r="B18" s="424"/>
      <c r="C18" s="424">
        <v>1376</v>
      </c>
      <c r="G18" s="481">
        <v>13</v>
      </c>
      <c r="H18" s="30">
        <v>4800</v>
      </c>
      <c r="I18" s="66">
        <v>0</v>
      </c>
      <c r="O18" s="424">
        <v>17</v>
      </c>
      <c r="Q18" s="480" t="s">
        <v>69</v>
      </c>
      <c r="R18" s="480">
        <v>0</v>
      </c>
      <c r="S18" s="480">
        <f>IF(AH46&gt;23,4,0)</f>
        <v>4</v>
      </c>
      <c r="W18" t="s">
        <v>483</v>
      </c>
      <c r="X18" t="s">
        <v>89</v>
      </c>
    </row>
    <row r="19" spans="1:24" ht="24" thickTop="1" thickBot="1">
      <c r="A19" s="424">
        <v>18</v>
      </c>
      <c r="B19" s="424"/>
      <c r="C19" s="424">
        <v>1377</v>
      </c>
      <c r="G19" s="481">
        <v>14</v>
      </c>
      <c r="H19" s="30">
        <v>5000</v>
      </c>
      <c r="I19" s="66">
        <v>0</v>
      </c>
      <c r="O19" s="424">
        <v>18</v>
      </c>
      <c r="Q19" s="480" t="s">
        <v>9</v>
      </c>
      <c r="R19" s="480">
        <f>SUM(R15:R18)</f>
        <v>2</v>
      </c>
      <c r="S19" s="480">
        <f>SUM(S15:S18)</f>
        <v>4</v>
      </c>
      <c r="W19" s="508" t="b">
        <f>AND('کاربرگ ورود اطلاعات'!F25=محاسبات!A19,S20&gt;1)</f>
        <v>0</v>
      </c>
      <c r="X19" s="475"/>
    </row>
    <row r="20" spans="1:24" ht="24" thickTop="1" thickBot="1">
      <c r="A20" s="424">
        <v>19</v>
      </c>
      <c r="B20" s="424"/>
      <c r="C20" s="424">
        <v>1378</v>
      </c>
      <c r="G20" s="481">
        <v>15</v>
      </c>
      <c r="H20" s="30">
        <v>5200</v>
      </c>
      <c r="I20" s="66">
        <v>0</v>
      </c>
      <c r="O20" s="424">
        <v>19</v>
      </c>
      <c r="Q20" s="947" t="s">
        <v>100</v>
      </c>
      <c r="R20" s="947"/>
      <c r="S20" s="480">
        <f>IF('کاربرگ ورود اطلاعات'!F25=محاسبات!A19,R19,S19)</f>
        <v>4</v>
      </c>
      <c r="T20" s="480">
        <f>SUM(I22:I26)</f>
        <v>1600</v>
      </c>
      <c r="V20" s="492">
        <f>SUM(M22:M26)</f>
        <v>600</v>
      </c>
      <c r="W20" s="509">
        <f>IF(AND('کاربرگ ورود اطلاعات'!F25=محاسبات!A19,S20&gt;1),1,X20)</f>
        <v>2</v>
      </c>
      <c r="X20" s="507">
        <f>IF(S20&gt;2,2,S20)</f>
        <v>2</v>
      </c>
    </row>
    <row r="21" spans="1:24" ht="24" thickTop="1" thickBot="1">
      <c r="A21" s="424">
        <v>20</v>
      </c>
      <c r="B21" s="424"/>
      <c r="C21" s="424">
        <v>1379</v>
      </c>
      <c r="G21" s="479">
        <v>16</v>
      </c>
      <c r="H21" s="212">
        <v>5400</v>
      </c>
      <c r="I21" s="264">
        <v>0</v>
      </c>
      <c r="N21" s="478" t="s">
        <v>457</v>
      </c>
      <c r="O21" s="424">
        <v>20</v>
      </c>
    </row>
    <row r="22" spans="1:24" ht="22.5">
      <c r="A22" s="424">
        <v>21</v>
      </c>
      <c r="B22" s="424"/>
      <c r="C22" s="424">
        <v>1380</v>
      </c>
      <c r="G22" s="365" t="s">
        <v>67</v>
      </c>
      <c r="H22" s="25">
        <v>0</v>
      </c>
      <c r="I22" s="26">
        <v>0</v>
      </c>
      <c r="K22" s="493" t="s">
        <v>67</v>
      </c>
      <c r="L22" s="25">
        <v>0</v>
      </c>
      <c r="M22" s="26">
        <v>0</v>
      </c>
      <c r="N22" s="478" t="s">
        <v>456</v>
      </c>
      <c r="O22" s="424">
        <v>21</v>
      </c>
    </row>
    <row r="23" spans="1:24" ht="22.5">
      <c r="A23" s="424">
        <v>22</v>
      </c>
      <c r="B23" s="424"/>
      <c r="C23" s="424">
        <v>1381</v>
      </c>
      <c r="G23" s="367" t="s">
        <v>68</v>
      </c>
      <c r="H23" s="30">
        <v>250</v>
      </c>
      <c r="I23" s="66">
        <f>IF(S20=1,H23,0)</f>
        <v>0</v>
      </c>
      <c r="K23" s="495" t="s">
        <v>68</v>
      </c>
      <c r="L23" s="30">
        <v>250</v>
      </c>
      <c r="M23" s="66">
        <f>IF(W20=1,L23,0)</f>
        <v>0</v>
      </c>
      <c r="O23" s="424">
        <v>22</v>
      </c>
      <c r="R23" s="424"/>
      <c r="S23" s="506"/>
    </row>
    <row r="24" spans="1:24" ht="22.5">
      <c r="A24" s="424">
        <v>23</v>
      </c>
      <c r="B24" s="424"/>
      <c r="C24" s="424">
        <v>1382</v>
      </c>
      <c r="G24" s="367" t="s">
        <v>64</v>
      </c>
      <c r="H24" s="30">
        <v>600</v>
      </c>
      <c r="I24" s="66">
        <f>IF(S20=2,H24,0)</f>
        <v>0</v>
      </c>
      <c r="K24" s="495" t="s">
        <v>64</v>
      </c>
      <c r="L24" s="30">
        <v>600</v>
      </c>
      <c r="M24" s="66">
        <f>IF(W20=2,L24,0)</f>
        <v>600</v>
      </c>
      <c r="O24" s="424">
        <v>23</v>
      </c>
      <c r="R24" s="427" t="s">
        <v>452</v>
      </c>
      <c r="S24" s="426">
        <f>IF('کاربرگ ورود اطلاعات'!F11="بلی",W20,S20)</f>
        <v>2</v>
      </c>
      <c r="T24" s="426">
        <f>IF('کاربرگ ورود اطلاعات'!F11="بلی",V20,T20)</f>
        <v>600</v>
      </c>
    </row>
    <row r="25" spans="1:24" ht="22.5">
      <c r="A25" s="424">
        <v>24</v>
      </c>
      <c r="B25" s="424"/>
      <c r="C25" s="424">
        <v>1383</v>
      </c>
      <c r="G25" s="367" t="s">
        <v>65</v>
      </c>
      <c r="H25" s="30">
        <v>1050</v>
      </c>
      <c r="I25" s="66">
        <f>IF(S20=3,H25,0)</f>
        <v>0</v>
      </c>
      <c r="K25" s="495" t="s">
        <v>65</v>
      </c>
      <c r="L25" s="30">
        <v>1050</v>
      </c>
      <c r="M25" s="66">
        <f>IF(W20=3,L25,0)</f>
        <v>0</v>
      </c>
      <c r="O25" s="424">
        <v>24</v>
      </c>
    </row>
    <row r="26" spans="1:24" ht="23.25" thickBot="1">
      <c r="A26" s="424">
        <v>25</v>
      </c>
      <c r="B26" s="424"/>
      <c r="C26" s="424">
        <v>1384</v>
      </c>
      <c r="G26" s="368" t="s">
        <v>69</v>
      </c>
      <c r="H26" s="213">
        <v>1600</v>
      </c>
      <c r="I26" s="60">
        <f>IF(S20=4,H26,0)</f>
        <v>1600</v>
      </c>
      <c r="K26" s="494" t="s">
        <v>69</v>
      </c>
      <c r="L26" s="213">
        <v>1600</v>
      </c>
      <c r="M26" s="60">
        <f>IF(W20=4,L26,0)</f>
        <v>0</v>
      </c>
      <c r="O26" s="424">
        <v>25</v>
      </c>
    </row>
    <row r="27" spans="1:24" ht="23.25" thickBot="1">
      <c r="A27" s="424">
        <v>26</v>
      </c>
      <c r="B27" s="424"/>
      <c r="C27" s="424">
        <v>1385</v>
      </c>
      <c r="G27" s="964" t="s">
        <v>257</v>
      </c>
      <c r="H27" s="965"/>
      <c r="I27" s="477">
        <f>SUM(I6:I26,S10)</f>
        <v>6000</v>
      </c>
      <c r="O27" s="424">
        <v>26</v>
      </c>
    </row>
    <row r="28" spans="1:24">
      <c r="A28" s="424">
        <v>27</v>
      </c>
      <c r="B28" s="424"/>
      <c r="C28" s="424">
        <v>1386</v>
      </c>
      <c r="O28" s="424">
        <v>27</v>
      </c>
    </row>
    <row r="29" spans="1:24">
      <c r="A29" s="424">
        <v>28</v>
      </c>
      <c r="B29" s="424"/>
      <c r="C29" s="424">
        <v>1387</v>
      </c>
      <c r="O29" s="424">
        <v>28</v>
      </c>
    </row>
    <row r="30" spans="1:24">
      <c r="A30" s="424">
        <v>29</v>
      </c>
      <c r="B30" s="424"/>
      <c r="C30" s="424">
        <v>1388</v>
      </c>
      <c r="O30" s="424">
        <v>29</v>
      </c>
    </row>
    <row r="31" spans="1:24">
      <c r="A31" s="424">
        <v>30</v>
      </c>
      <c r="B31" s="424"/>
      <c r="C31" s="424">
        <v>1389</v>
      </c>
      <c r="O31" s="424">
        <v>30</v>
      </c>
    </row>
    <row r="32" spans="1:24">
      <c r="A32" s="424">
        <v>31</v>
      </c>
      <c r="B32" s="424"/>
      <c r="C32" s="424">
        <v>1390</v>
      </c>
      <c r="O32" s="424"/>
    </row>
    <row r="33" spans="1:129" ht="15" thickBot="1">
      <c r="A33" s="424"/>
      <c r="B33" s="424"/>
      <c r="C33" s="424">
        <v>1391</v>
      </c>
      <c r="O33" s="424"/>
    </row>
    <row r="34" spans="1:129" ht="18.75" thickBot="1">
      <c r="A34" s="424"/>
      <c r="B34" s="424"/>
      <c r="C34" s="424">
        <v>1392</v>
      </c>
      <c r="E34" s="476">
        <f>Sheet1!D65</f>
        <v>0</v>
      </c>
      <c r="F34" s="380">
        <f>Sheet1!E65</f>
        <v>0</v>
      </c>
      <c r="G34" s="380">
        <f>Sheet1!F65</f>
        <v>0</v>
      </c>
      <c r="H34" s="380">
        <f>Sheet1!G65</f>
        <v>0</v>
      </c>
      <c r="I34" s="380">
        <f>Sheet1!H65</f>
        <v>0</v>
      </c>
      <c r="J34" s="380">
        <f>Sheet1!I65</f>
        <v>0</v>
      </c>
      <c r="K34" s="380">
        <f>IF(H34&gt;E34,H34-E34,H34+30-E34)</f>
        <v>30</v>
      </c>
      <c r="L34" s="381">
        <f>IF(H34&gt;E34,I34,I34-1)</f>
        <v>-1</v>
      </c>
      <c r="M34" s="381">
        <f>IF(L34&gt;F34,J34,J34-1)</f>
        <v>-1</v>
      </c>
      <c r="N34" s="380">
        <f>K34</f>
        <v>30</v>
      </c>
      <c r="O34" s="380">
        <f>IF(L34&gt;F34,L34-F34,L34+12-F34)</f>
        <v>11</v>
      </c>
      <c r="P34" s="380">
        <f>M34-G34</f>
        <v>-1</v>
      </c>
      <c r="Q34" s="380">
        <f>IF(N34&gt;29,0,N34)</f>
        <v>0</v>
      </c>
      <c r="R34" s="380">
        <f>IF(N34&gt;29,O34+1,O34)</f>
        <v>12</v>
      </c>
      <c r="S34" s="380">
        <f>IF(R34&gt;11,P34+1,P34)</f>
        <v>0</v>
      </c>
      <c r="T34" s="382">
        <f>Q34</f>
        <v>0</v>
      </c>
      <c r="U34" s="382">
        <f>IF(R34&gt;11,R34-12,R34)</f>
        <v>0</v>
      </c>
      <c r="V34" s="383">
        <f>S34</f>
        <v>0</v>
      </c>
    </row>
    <row r="35" spans="1:129" ht="18.75" thickBot="1">
      <c r="A35" s="424"/>
      <c r="B35" s="424"/>
      <c r="C35" s="424">
        <v>1393</v>
      </c>
      <c r="E35" s="476">
        <f>Sheet1!D65</f>
        <v>0</v>
      </c>
      <c r="F35" s="380">
        <f>Sheet1!E65</f>
        <v>0</v>
      </c>
      <c r="G35" s="380">
        <f>Sheet1!F65</f>
        <v>0</v>
      </c>
      <c r="H35" s="380">
        <f>Sheet1!G65</f>
        <v>0</v>
      </c>
      <c r="I35" s="380">
        <f>Sheet1!H65</f>
        <v>0</v>
      </c>
      <c r="J35" s="380">
        <f>Sheet1!I65</f>
        <v>0</v>
      </c>
      <c r="K35" s="380">
        <f>IF(H35&gt;E35,H35-E35,H35+30-E35)</f>
        <v>30</v>
      </c>
      <c r="L35" s="381">
        <f>IF(H35&gt;E35,I35,I35-1)</f>
        <v>-1</v>
      </c>
      <c r="M35" s="381">
        <f>IF(L35&gt;F35,J35,J35-1)</f>
        <v>-1</v>
      </c>
      <c r="N35" s="380">
        <f>K35</f>
        <v>30</v>
      </c>
      <c r="O35" s="380">
        <f>IF(L35&gt;F35,L35-F35,L35+12-F35)</f>
        <v>11</v>
      </c>
      <c r="P35" s="380">
        <f>M35-G35</f>
        <v>-1</v>
      </c>
      <c r="Q35" s="380">
        <f>IF(N35&gt;29,0,N35)</f>
        <v>0</v>
      </c>
      <c r="R35" s="380">
        <f>IF(N35&gt;29,O35+1,O35)</f>
        <v>12</v>
      </c>
      <c r="S35" s="380">
        <f>IF(R35&gt;11,P35+1,P35)</f>
        <v>0</v>
      </c>
      <c r="T35" s="382">
        <f>Q35</f>
        <v>0</v>
      </c>
      <c r="U35" s="382">
        <f>IF(R35&gt;11,R35-12,R35)</f>
        <v>0</v>
      </c>
      <c r="V35" s="383">
        <f>S35</f>
        <v>0</v>
      </c>
      <c r="W35" s="378">
        <f>E35</f>
        <v>0</v>
      </c>
      <c r="X35" s="379">
        <f>F35</f>
        <v>0</v>
      </c>
      <c r="Y35" s="379">
        <f>G35</f>
        <v>0</v>
      </c>
      <c r="Z35" s="379">
        <v>1</v>
      </c>
      <c r="AA35" s="379">
        <v>1</v>
      </c>
      <c r="AB35" s="379">
        <v>1388</v>
      </c>
      <c r="AC35" s="468">
        <f>IF(Z35&gt;W35,Z35-W35,Z35+30-W35)</f>
        <v>1</v>
      </c>
      <c r="AD35" s="467">
        <f>IF(Z35&gt;W35,AA35,AA35-1)</f>
        <v>1</v>
      </c>
      <c r="AE35" s="381">
        <f>IF(AD35&gt;X35,AB35,AB35-1)</f>
        <v>1388</v>
      </c>
      <c r="AF35" s="380">
        <f>AC35</f>
        <v>1</v>
      </c>
      <c r="AG35" s="380">
        <f>IF(AD35&gt;X35,AD35-X35,AD35+12-X35)</f>
        <v>1</v>
      </c>
      <c r="AH35" s="380">
        <f>AE35-Y35</f>
        <v>1388</v>
      </c>
      <c r="AI35" s="380">
        <f>IF(AF35&gt;29,0,AF35)</f>
        <v>1</v>
      </c>
      <c r="AJ35" s="380">
        <f>IF(AF35&gt;29,AG35+1,AG35)</f>
        <v>1</v>
      </c>
      <c r="AK35" s="380">
        <f>IF(AJ35&gt;11,AH35+1,AH35)</f>
        <v>1388</v>
      </c>
      <c r="AL35" s="466">
        <f>AI35</f>
        <v>1</v>
      </c>
      <c r="AM35" s="466">
        <f>IF(AJ35&gt;11,0,AJ35)</f>
        <v>1</v>
      </c>
      <c r="AN35" s="466">
        <f>AK35</f>
        <v>1388</v>
      </c>
      <c r="AO35" s="378">
        <v>1</v>
      </c>
      <c r="AP35" s="379">
        <v>1</v>
      </c>
      <c r="AQ35" s="379">
        <v>1388</v>
      </c>
      <c r="AR35" s="379">
        <f>H35</f>
        <v>0</v>
      </c>
      <c r="AS35" s="379">
        <f>I35</f>
        <v>0</v>
      </c>
      <c r="AT35" s="379">
        <f>J35</f>
        <v>0</v>
      </c>
      <c r="AU35" s="468">
        <f>IF(AR35&gt;AO35,AR35-AO35,AR35+30-AO35)</f>
        <v>29</v>
      </c>
      <c r="AV35" s="467">
        <f>IF(AR35&gt;AO35,AS35,AS35-1)</f>
        <v>-1</v>
      </c>
      <c r="AW35" s="381">
        <f>IF(AV35&gt;AP35,AT35,AT35-1)</f>
        <v>-1</v>
      </c>
      <c r="AX35" s="380">
        <f>AU35</f>
        <v>29</v>
      </c>
      <c r="AY35" s="380">
        <f>IF(AV35&gt;AP35,AV35-AP35,AV35+12-AP35)</f>
        <v>10</v>
      </c>
      <c r="AZ35" s="380">
        <f>AW35-AQ35</f>
        <v>-1389</v>
      </c>
      <c r="BA35" s="380">
        <f>IF(AX35&gt;29,0,AX35)</f>
        <v>29</v>
      </c>
      <c r="BB35" s="380">
        <f>IF(AX35&gt;29,AY35+1,AY35)</f>
        <v>10</v>
      </c>
      <c r="BC35" s="380">
        <f>IF(BB35&gt;11,AZ35+1,AZ35)</f>
        <v>-1389</v>
      </c>
      <c r="BD35" s="466">
        <f>BA35</f>
        <v>29</v>
      </c>
      <c r="BE35" s="466">
        <f>IF(BB35&gt;11,0,BB35)</f>
        <v>10</v>
      </c>
      <c r="BF35" s="466">
        <f>BC35</f>
        <v>-1389</v>
      </c>
      <c r="BG35" s="465">
        <f>BD35</f>
        <v>29</v>
      </c>
      <c r="BH35" s="408">
        <f>BE35</f>
        <v>10</v>
      </c>
      <c r="BI35" s="461">
        <f>BF35</f>
        <v>-1389</v>
      </c>
      <c r="BJ35" s="463">
        <v>2</v>
      </c>
      <c r="BK35" s="462">
        <f>INT(BQ35/BS35)</f>
        <v>58</v>
      </c>
      <c r="BL35" s="461">
        <f>INT(BO35/BS35)</f>
        <v>20</v>
      </c>
      <c r="BM35" s="461">
        <f>INT(BI35/BS35)</f>
        <v>-2778</v>
      </c>
      <c r="BN35" s="457">
        <f>BI35-(BS35*BM35)</f>
        <v>0</v>
      </c>
      <c r="BO35" s="457">
        <f>(BN35*12)+BH35</f>
        <v>10</v>
      </c>
      <c r="BP35" s="457">
        <f>BO35-(BS35*BL35)</f>
        <v>0</v>
      </c>
      <c r="BQ35" s="460">
        <f>(BP35*30)+BG35</f>
        <v>29</v>
      </c>
      <c r="BR35" s="460">
        <v>1</v>
      </c>
      <c r="BS35" s="459">
        <f>BR35/BJ35</f>
        <v>0.5</v>
      </c>
      <c r="BT35" s="464">
        <f>IF(BK35&lt;30,BK35,BK35-(BW35*30))</f>
        <v>28</v>
      </c>
      <c r="BU35" s="464">
        <f>IF(BL35&gt;12,(BL35+BW35)-(BX35*12),BL35)</f>
        <v>9</v>
      </c>
      <c r="BV35" s="464">
        <f>BM35+BX35</f>
        <v>-2777</v>
      </c>
      <c r="BW35" s="457">
        <f>INT(BK35/30)</f>
        <v>1</v>
      </c>
      <c r="BX35" s="460">
        <f>INT((BW35+BL35)/12)</f>
        <v>1</v>
      </c>
      <c r="BY35" s="463">
        <v>2</v>
      </c>
      <c r="BZ35" s="462">
        <f>BT35+AL35</f>
        <v>29</v>
      </c>
      <c r="CA35" s="461">
        <f>BU35+AM35</f>
        <v>10</v>
      </c>
      <c r="CB35" s="461">
        <f>BV35+AN35</f>
        <v>-1389</v>
      </c>
      <c r="CC35" s="457">
        <f>BX35-(CH35*CB35)</f>
        <v>695.5</v>
      </c>
      <c r="CD35" s="457">
        <f>(CC35*12)+BW35</f>
        <v>8347</v>
      </c>
      <c r="CE35" s="457">
        <f>CD35-(CH35*CA35)</f>
        <v>8342</v>
      </c>
      <c r="CF35" s="460">
        <f>(CE35*30)+BV35</f>
        <v>247483</v>
      </c>
      <c r="CG35" s="460">
        <v>1</v>
      </c>
      <c r="CH35" s="459">
        <f>CG35/BY35</f>
        <v>0.5</v>
      </c>
      <c r="CI35" s="458">
        <f>IF(BZ35&lt;30,BZ35,BZ35-(CL35*30))</f>
        <v>29</v>
      </c>
      <c r="CJ35" s="458">
        <f>IF((CA35+CM35)&gt;11,(CA35+CL35)-(CM35*12),CA35)</f>
        <v>10</v>
      </c>
      <c r="CK35" s="458">
        <f>CB35+CM35</f>
        <v>-1389</v>
      </c>
      <c r="CL35" s="457">
        <f>INT(BZ35/30)</f>
        <v>0</v>
      </c>
      <c r="CM35" s="457">
        <f>INT((CL35+CA35)/12)</f>
        <v>0</v>
      </c>
      <c r="CN35" s="456">
        <f>IF(AND(Y35&lt;1388,AT35&gt;1387),CI35,0)</f>
        <v>0</v>
      </c>
      <c r="CO35" s="456">
        <f>IF(AND(Y35&lt;1388,AT35&gt;1387),CJ35,0)</f>
        <v>0</v>
      </c>
      <c r="CP35" s="455">
        <f>IF(AND(Y35&lt;1388,AT35&gt;1387),CK35,0)</f>
        <v>0</v>
      </c>
      <c r="CQ35" s="463">
        <v>2</v>
      </c>
      <c r="CR35" s="462">
        <f>AL35+BD35</f>
        <v>30</v>
      </c>
      <c r="CS35" s="461">
        <f>AM35+BE35</f>
        <v>11</v>
      </c>
      <c r="CT35" s="461">
        <f>AN35+BF35</f>
        <v>-1</v>
      </c>
      <c r="CU35" s="457">
        <f>CP35-(CZ35*CT35)</f>
        <v>0.5</v>
      </c>
      <c r="CV35" s="457">
        <f>(CU35*12)+CO35</f>
        <v>6</v>
      </c>
      <c r="CW35" s="457">
        <f>CV35-(CZ35*CS35)</f>
        <v>0.5</v>
      </c>
      <c r="CX35" s="460">
        <f>(CW35*30)+CN35</f>
        <v>15</v>
      </c>
      <c r="CY35" s="460">
        <v>1</v>
      </c>
      <c r="CZ35" s="459">
        <f>CY35/CQ35</f>
        <v>0.5</v>
      </c>
      <c r="DA35" s="458">
        <f>IF(CR35&lt;30,CR35,CR35-(DD35*30))</f>
        <v>0</v>
      </c>
      <c r="DB35" s="458">
        <f>IF((CS35+DE35)&gt;11,(CS35+DD35)-(DE35*12),CS35)</f>
        <v>0</v>
      </c>
      <c r="DC35" s="458">
        <f>CT35+DE35</f>
        <v>0</v>
      </c>
      <c r="DD35" s="457">
        <f>INT(CR35/30)</f>
        <v>1</v>
      </c>
      <c r="DE35" s="457">
        <f>INT((DD35+CS35)/12)</f>
        <v>1</v>
      </c>
      <c r="DF35" s="456">
        <f>IF(AND(Y35&lt;1388,AT35&lt;1388),DA35,0)</f>
        <v>0</v>
      </c>
      <c r="DG35" s="456">
        <f>IF(AND(Y35&lt;1388,AT35&lt;1388),DB35,0)</f>
        <v>0</v>
      </c>
      <c r="DH35" s="455">
        <f>IF(AND(Y35&lt;1388,AT35&lt;1388),DC35,0)</f>
        <v>0</v>
      </c>
      <c r="DI35" s="463">
        <v>2</v>
      </c>
      <c r="DJ35" s="462">
        <f>(2*BD35)+(2*AL35)</f>
        <v>60</v>
      </c>
      <c r="DK35" s="461">
        <f>(2*BE35)+(2*AM35)</f>
        <v>22</v>
      </c>
      <c r="DL35" s="461">
        <f>(2*BF35)+(2*AN35)</f>
        <v>-2</v>
      </c>
      <c r="DM35" s="460">
        <v>1</v>
      </c>
      <c r="DN35" s="459">
        <f>DM35/DI35</f>
        <v>0.5</v>
      </c>
      <c r="DO35" s="458">
        <f>IF(DJ35&lt;30,DJ35,DJ35-(DR35*30))</f>
        <v>0</v>
      </c>
      <c r="DP35" s="458">
        <f>IF((DK35+DS35)&gt;11,(DK35+DR35)-(DS35*12),DK35)</f>
        <v>0</v>
      </c>
      <c r="DQ35" s="458">
        <f>DL35+DS35</f>
        <v>0</v>
      </c>
      <c r="DR35" s="457">
        <f>INT(DJ35/30)</f>
        <v>2</v>
      </c>
      <c r="DS35" s="457">
        <f>INT((DR35+DK35)/12)</f>
        <v>2</v>
      </c>
      <c r="DT35" s="456">
        <f>IF(AND(Y35&gt;1387,AT35&gt;1387),DO35,0)</f>
        <v>0</v>
      </c>
      <c r="DU35" s="456">
        <f>IF(AND(Y35&gt;1387,AT35&gt;1387),DP35,0)</f>
        <v>0</v>
      </c>
      <c r="DV35" s="455">
        <f>IF(AND(Y35&gt;1387,AT35&gt;1387),DQ35,0)</f>
        <v>0</v>
      </c>
      <c r="DW35" s="454">
        <f>CN35+DF35+DT35</f>
        <v>0</v>
      </c>
      <c r="DX35" s="382">
        <f>CO35+DG35+DU35</f>
        <v>0</v>
      </c>
      <c r="DY35" s="383">
        <f>CP35+DH35+DV35</f>
        <v>0</v>
      </c>
    </row>
    <row r="36" spans="1:129" ht="15" thickBot="1">
      <c r="A36" s="424"/>
      <c r="B36" s="424"/>
      <c r="C36" s="424">
        <v>1394</v>
      </c>
      <c r="O36" s="424"/>
    </row>
    <row r="37" spans="1:129" ht="21.75" thickBot="1">
      <c r="A37" s="424"/>
      <c r="B37" s="424"/>
      <c r="C37" s="424">
        <v>1395</v>
      </c>
      <c r="E37" s="473">
        <f>T34</f>
        <v>0</v>
      </c>
      <c r="F37" s="473">
        <f>U34</f>
        <v>0</v>
      </c>
      <c r="G37" s="473">
        <f>V34</f>
        <v>0</v>
      </c>
      <c r="H37" s="472">
        <f>T34</f>
        <v>0</v>
      </c>
      <c r="I37" s="472">
        <f>U34</f>
        <v>0</v>
      </c>
      <c r="J37" s="472">
        <f>V34</f>
        <v>0</v>
      </c>
      <c r="K37" s="398">
        <f>E37+H37</f>
        <v>0</v>
      </c>
      <c r="L37" s="398">
        <f>I37+F37</f>
        <v>0</v>
      </c>
      <c r="M37" s="398">
        <f>J37+G37</f>
        <v>0</v>
      </c>
      <c r="N37" s="399">
        <v>1</v>
      </c>
      <c r="O37" s="398">
        <f>INT(U37/W37)</f>
        <v>0</v>
      </c>
      <c r="P37" s="398">
        <f>INT(S37/W37)</f>
        <v>0</v>
      </c>
      <c r="Q37" s="398">
        <f>INT(M37/W37)</f>
        <v>0</v>
      </c>
      <c r="R37" s="400">
        <f>M37-(W37*Q37)</f>
        <v>0</v>
      </c>
      <c r="S37" s="400">
        <f>(R37*12)+L37</f>
        <v>0</v>
      </c>
      <c r="T37" s="400">
        <f>S37-(W37*P37)</f>
        <v>0</v>
      </c>
      <c r="U37" s="400">
        <f>(T37*30)+K37</f>
        <v>0</v>
      </c>
      <c r="V37" s="400">
        <v>1</v>
      </c>
      <c r="W37" s="400">
        <f>V37/N37</f>
        <v>1</v>
      </c>
      <c r="X37" s="401">
        <f>IF(O37&lt;30,O37,O37-(AA37*30))</f>
        <v>0</v>
      </c>
      <c r="Y37" s="401">
        <f>IF((P37+AA37)&gt;11,(P37+AA37)-(AB37*12),(P37+AA37))</f>
        <v>0</v>
      </c>
      <c r="Z37" s="401">
        <f>Q37+AB37</f>
        <v>0</v>
      </c>
      <c r="AA37" s="400">
        <f>INT(O37/30)</f>
        <v>0</v>
      </c>
      <c r="AB37" s="402">
        <f>INT((AA37+P37)/12)</f>
        <v>0</v>
      </c>
      <c r="AC37" s="403">
        <f>X37</f>
        <v>0</v>
      </c>
      <c r="AD37" s="404">
        <f>IF(Y37&gt;11,Y37-12,Y37)</f>
        <v>0</v>
      </c>
      <c r="AE37" s="405">
        <f>AF37+Z37</f>
        <v>0</v>
      </c>
      <c r="AF37" s="406">
        <f>INT(Y37/12)</f>
        <v>0</v>
      </c>
      <c r="AG37" s="470" t="s">
        <v>447</v>
      </c>
    </row>
    <row r="38" spans="1:129" ht="15" thickBot="1">
      <c r="A38" s="424"/>
      <c r="B38" s="424"/>
      <c r="C38" s="424">
        <v>1396</v>
      </c>
      <c r="O38" s="424"/>
    </row>
    <row r="39" spans="1:129" ht="18.75" thickBot="1">
      <c r="A39" s="424"/>
      <c r="B39" s="424"/>
      <c r="C39" s="424">
        <v>1397</v>
      </c>
      <c r="E39" s="476">
        <f>'جدول محاسبه حق شغل'!C3</f>
        <v>0</v>
      </c>
      <c r="F39" s="380">
        <f>'جدول محاسبه حق شغل'!D3</f>
        <v>0</v>
      </c>
      <c r="G39" s="380">
        <f>'جدول محاسبه حق شغل'!E3</f>
        <v>0</v>
      </c>
      <c r="H39" s="380">
        <f>'جدول محاسبه حق شغل'!F3</f>
        <v>1</v>
      </c>
      <c r="I39" s="380">
        <f>'جدول محاسبه حق شغل'!G3</f>
        <v>12</v>
      </c>
      <c r="J39" s="380">
        <f>'جدول محاسبه حق شغل'!H3</f>
        <v>1398</v>
      </c>
      <c r="K39" s="380">
        <f>IF(H39&gt;E39,H39-E39,H39+30-E39)</f>
        <v>1</v>
      </c>
      <c r="L39" s="381">
        <f>IF(H39&gt;E39,I39,I39-1)</f>
        <v>12</v>
      </c>
      <c r="M39" s="381">
        <f>IF(L39&gt;F39,J39,J39-1)</f>
        <v>1398</v>
      </c>
      <c r="N39" s="380">
        <f>K39</f>
        <v>1</v>
      </c>
      <c r="O39" s="380">
        <f>IF(L39&gt;F39,L39-F39,L39+12-F39)</f>
        <v>12</v>
      </c>
      <c r="P39" s="380">
        <f>M39-G39</f>
        <v>1398</v>
      </c>
      <c r="Q39" s="380">
        <f>IF(N39&gt;29,0,N39)</f>
        <v>1</v>
      </c>
      <c r="R39" s="380">
        <f>IF(N39&gt;29,O39+1,O39)</f>
        <v>12</v>
      </c>
      <c r="S39" s="380">
        <f>IF(R39&gt;11,P39+1,P39)</f>
        <v>1399</v>
      </c>
      <c r="T39" s="382">
        <f>Q39</f>
        <v>1</v>
      </c>
      <c r="U39" s="382">
        <f>IF(R39&gt;11,R39-12,R39)</f>
        <v>0</v>
      </c>
      <c r="V39" s="383">
        <f>S39</f>
        <v>1399</v>
      </c>
    </row>
    <row r="40" spans="1:129" ht="18.75" thickBot="1">
      <c r="A40" s="424"/>
      <c r="B40" s="424"/>
      <c r="C40" s="424">
        <v>1398</v>
      </c>
      <c r="E40" s="476">
        <f>'جدول محاسبه حق شغل'!C3</f>
        <v>0</v>
      </c>
      <c r="F40" s="380">
        <f>'جدول محاسبه حق شغل'!D3</f>
        <v>0</v>
      </c>
      <c r="G40" s="380">
        <f>'جدول محاسبه حق شغل'!E3</f>
        <v>0</v>
      </c>
      <c r="H40" s="380">
        <f>'جدول محاسبه حق شغل'!F3</f>
        <v>1</v>
      </c>
      <c r="I40" s="380">
        <f>'جدول محاسبه حق شغل'!G3</f>
        <v>12</v>
      </c>
      <c r="J40" s="380">
        <f>'جدول محاسبه حق شغل'!H3</f>
        <v>1398</v>
      </c>
      <c r="K40" s="380">
        <f>IF(H40&gt;E40,H40-E40,H40+30-E40)</f>
        <v>1</v>
      </c>
      <c r="L40" s="381">
        <f>IF(H40&gt;E40,I40,I40-1)</f>
        <v>12</v>
      </c>
      <c r="M40" s="381">
        <f>IF(L40&gt;F40,J40,J40-1)</f>
        <v>1398</v>
      </c>
      <c r="N40" s="380">
        <f>K40</f>
        <v>1</v>
      </c>
      <c r="O40" s="380">
        <f>IF(L40&gt;F40,L40-F40,L40+12-F40)</f>
        <v>12</v>
      </c>
      <c r="P40" s="380">
        <f>M40-G40</f>
        <v>1398</v>
      </c>
      <c r="Q40" s="380">
        <f>IF(N40&gt;29,0,N40)</f>
        <v>1</v>
      </c>
      <c r="R40" s="380">
        <f>IF(N40&gt;29,O40+1,O40)</f>
        <v>12</v>
      </c>
      <c r="S40" s="380">
        <f>IF(R40&gt;11,P40+1,P40)</f>
        <v>1399</v>
      </c>
      <c r="T40" s="382">
        <f>Q40</f>
        <v>1</v>
      </c>
      <c r="U40" s="382">
        <f>IF(R40&gt;11,R40-12,R40)</f>
        <v>0</v>
      </c>
      <c r="V40" s="383">
        <f>S40</f>
        <v>1399</v>
      </c>
      <c r="W40" s="378">
        <f>E40</f>
        <v>0</v>
      </c>
      <c r="X40" s="379">
        <f>F40</f>
        <v>0</v>
      </c>
      <c r="Y40" s="379">
        <f>G40</f>
        <v>0</v>
      </c>
      <c r="Z40" s="379">
        <v>1</v>
      </c>
      <c r="AA40" s="379">
        <v>1</v>
      </c>
      <c r="AB40" s="379">
        <v>1388</v>
      </c>
      <c r="AC40" s="468">
        <f>IF(Z40&gt;W40,Z40-W40,Z40+30-W40)</f>
        <v>1</v>
      </c>
      <c r="AD40" s="467">
        <f>IF(Z40&gt;W40,AA40,AA40-1)</f>
        <v>1</v>
      </c>
      <c r="AE40" s="381">
        <f>IF(AD40&gt;X40,AB40,AB40-1)</f>
        <v>1388</v>
      </c>
      <c r="AF40" s="380">
        <f>AC40</f>
        <v>1</v>
      </c>
      <c r="AG40" s="380">
        <f>IF(AD40&gt;X40,AD40-X40,AD40+12-X40)</f>
        <v>1</v>
      </c>
      <c r="AH40" s="380">
        <f>AE40-Y40</f>
        <v>1388</v>
      </c>
      <c r="AI40" s="380">
        <f>IF(AF40&gt;29,0,AF40)</f>
        <v>1</v>
      </c>
      <c r="AJ40" s="380">
        <f>IF(AF40&gt;29,AG40+1,AG40)</f>
        <v>1</v>
      </c>
      <c r="AK40" s="380">
        <f>IF(AJ40&gt;11,AH40+1,AH40)</f>
        <v>1388</v>
      </c>
      <c r="AL40" s="466">
        <f>AI40</f>
        <v>1</v>
      </c>
      <c r="AM40" s="466">
        <f>IF(AJ40&gt;11,0,AJ40)</f>
        <v>1</v>
      </c>
      <c r="AN40" s="466">
        <f>AK40</f>
        <v>1388</v>
      </c>
      <c r="AO40" s="378">
        <v>1</v>
      </c>
      <c r="AP40" s="379">
        <v>1</v>
      </c>
      <c r="AQ40" s="379">
        <v>1388</v>
      </c>
      <c r="AR40" s="379">
        <f>H40</f>
        <v>1</v>
      </c>
      <c r="AS40" s="379">
        <f>I40</f>
        <v>12</v>
      </c>
      <c r="AT40" s="379">
        <f>J40</f>
        <v>1398</v>
      </c>
      <c r="AU40" s="468">
        <f>IF(AR40&gt;AO40,AR40-AO40,AR40+30-AO40)</f>
        <v>30</v>
      </c>
      <c r="AV40" s="467">
        <f>IF(AR40&gt;AO40,AS40,AS40-1)</f>
        <v>11</v>
      </c>
      <c r="AW40" s="381">
        <f>IF(AV40&gt;AP40,AT40,AT40-1)</f>
        <v>1398</v>
      </c>
      <c r="AX40" s="380">
        <f>AU40</f>
        <v>30</v>
      </c>
      <c r="AY40" s="380">
        <f>IF(AV40&gt;AP40,AV40-AP40,AV40+12-AP40)</f>
        <v>10</v>
      </c>
      <c r="AZ40" s="380">
        <f>AW40-AQ40</f>
        <v>10</v>
      </c>
      <c r="BA40" s="380">
        <f>IF(AX40&gt;29,0,AX40)</f>
        <v>0</v>
      </c>
      <c r="BB40" s="380">
        <f>IF(AX40&gt;29,AY40+1,AY40)</f>
        <v>11</v>
      </c>
      <c r="BC40" s="380">
        <f>IF(BB40&gt;11,AZ40+1,AZ40)</f>
        <v>10</v>
      </c>
      <c r="BD40" s="466">
        <f>BA40</f>
        <v>0</v>
      </c>
      <c r="BE40" s="466">
        <f>IF(BB40&gt;11,0,BB40)</f>
        <v>11</v>
      </c>
      <c r="BF40" s="466">
        <f>BC40</f>
        <v>10</v>
      </c>
      <c r="BG40" s="465">
        <f>BD40</f>
        <v>0</v>
      </c>
      <c r="BH40" s="408">
        <f>BE40</f>
        <v>11</v>
      </c>
      <c r="BI40" s="461">
        <f>BF40</f>
        <v>10</v>
      </c>
      <c r="BJ40" s="463">
        <v>2</v>
      </c>
      <c r="BK40" s="462">
        <f>INT(BQ40/BS40)</f>
        <v>0</v>
      </c>
      <c r="BL40" s="461">
        <f>INT(BO40/BS40)</f>
        <v>22</v>
      </c>
      <c r="BM40" s="461">
        <f>INT(BI40/BS40)</f>
        <v>20</v>
      </c>
      <c r="BN40" s="457">
        <f>BI40-(BS40*BM40)</f>
        <v>0</v>
      </c>
      <c r="BO40" s="457">
        <f>(BN40*12)+BH40</f>
        <v>11</v>
      </c>
      <c r="BP40" s="457">
        <f>BO40-(BS40*BL40)</f>
        <v>0</v>
      </c>
      <c r="BQ40" s="460">
        <f>(BP40*30)+BG40</f>
        <v>0</v>
      </c>
      <c r="BR40" s="460">
        <v>1</v>
      </c>
      <c r="BS40" s="459">
        <f>BR40/BJ40</f>
        <v>0.5</v>
      </c>
      <c r="BT40" s="464">
        <f>IF(BK40&lt;30,BK40,BK40-(BW40*30))</f>
        <v>0</v>
      </c>
      <c r="BU40" s="464">
        <f>IF(BL40&gt;12,(BL40+BW40)-(BX40*12),BL40)</f>
        <v>10</v>
      </c>
      <c r="BV40" s="464">
        <f>BM40+BX40</f>
        <v>21</v>
      </c>
      <c r="BW40" s="457">
        <f>INT(BK40/30)</f>
        <v>0</v>
      </c>
      <c r="BX40" s="460">
        <f>INT((BW40+BL40)/12)</f>
        <v>1</v>
      </c>
      <c r="BY40" s="463">
        <v>2</v>
      </c>
      <c r="BZ40" s="462">
        <f>BT40+AL40</f>
        <v>1</v>
      </c>
      <c r="CA40" s="461">
        <f>BU40+AM40</f>
        <v>11</v>
      </c>
      <c r="CB40" s="461">
        <f>BV40+AN40</f>
        <v>1409</v>
      </c>
      <c r="CC40" s="457">
        <f>BX40-(CH40*CB40)</f>
        <v>-703.5</v>
      </c>
      <c r="CD40" s="457">
        <f>(CC40*12)+BW40</f>
        <v>-8442</v>
      </c>
      <c r="CE40" s="457">
        <f>CD40-(CH40*CA40)</f>
        <v>-8447.5</v>
      </c>
      <c r="CF40" s="460">
        <f>(CE40*30)+BV40</f>
        <v>-253404</v>
      </c>
      <c r="CG40" s="460">
        <v>1</v>
      </c>
      <c r="CH40" s="459">
        <f>CG40/BY40</f>
        <v>0.5</v>
      </c>
      <c r="CI40" s="458">
        <f>IF(BZ40&lt;30,BZ40,BZ40-(CL40*30))</f>
        <v>1</v>
      </c>
      <c r="CJ40" s="458">
        <f>IF((CA40+CM40)&gt;11,(CA40+CL40)-(CM40*12),CA40)</f>
        <v>11</v>
      </c>
      <c r="CK40" s="458">
        <f>CB40+CM40</f>
        <v>1409</v>
      </c>
      <c r="CL40" s="457">
        <f>INT(BZ40/30)</f>
        <v>0</v>
      </c>
      <c r="CM40" s="457">
        <f>INT((CL40+CA40)/12)</f>
        <v>0</v>
      </c>
      <c r="CN40" s="456">
        <f>IF(AND(Y40&lt;1388,AT40&gt;1387),CI40,0)</f>
        <v>1</v>
      </c>
      <c r="CO40" s="456">
        <f>IF(AND(Y40&lt;1388,AT40&gt;1387),CJ40,0)</f>
        <v>11</v>
      </c>
      <c r="CP40" s="455">
        <f>IF(AND(Y40&lt;1388,AT40&gt;1387),CK40,0)</f>
        <v>1409</v>
      </c>
      <c r="CQ40" s="463">
        <v>2</v>
      </c>
      <c r="CR40" s="462">
        <f>AL40+BD40</f>
        <v>1</v>
      </c>
      <c r="CS40" s="461">
        <f>AM40+BE40</f>
        <v>12</v>
      </c>
      <c r="CT40" s="461">
        <f>AN40+BF40</f>
        <v>1398</v>
      </c>
      <c r="CU40" s="457">
        <f>CP40-(CZ40*CT40)</f>
        <v>710</v>
      </c>
      <c r="CV40" s="457">
        <f>(CU40*12)+CO40</f>
        <v>8531</v>
      </c>
      <c r="CW40" s="457">
        <f>CV40-(CZ40*CS40)</f>
        <v>8525</v>
      </c>
      <c r="CX40" s="460">
        <f>(CW40*30)+CN40</f>
        <v>255751</v>
      </c>
      <c r="CY40" s="460">
        <v>1</v>
      </c>
      <c r="CZ40" s="459">
        <f>CY40/CQ40</f>
        <v>0.5</v>
      </c>
      <c r="DA40" s="458">
        <f>IF(CR40&lt;30,CR40,CR40-(DD40*30))</f>
        <v>1</v>
      </c>
      <c r="DB40" s="458">
        <f>IF((CS40+DE40)&gt;11,(CS40+DD40)-(DE40*12),CS40)</f>
        <v>0</v>
      </c>
      <c r="DC40" s="458">
        <f>CT40+DE40</f>
        <v>1399</v>
      </c>
      <c r="DD40" s="457">
        <f>INT(CR40/30)</f>
        <v>0</v>
      </c>
      <c r="DE40" s="457">
        <f>INT((DD40+CS40)/12)</f>
        <v>1</v>
      </c>
      <c r="DF40" s="456">
        <f>IF(AND(Y40&lt;1388,AT40&lt;1388),DA40,0)</f>
        <v>0</v>
      </c>
      <c r="DG40" s="456">
        <f>IF(AND(Y40&lt;1388,AT40&lt;1388),DB40,0)</f>
        <v>0</v>
      </c>
      <c r="DH40" s="455">
        <f>IF(AND(Y40&lt;1388,AT40&lt;1388),DC40,0)</f>
        <v>0</v>
      </c>
      <c r="DI40" s="463">
        <v>2</v>
      </c>
      <c r="DJ40" s="462">
        <f>(2*BD40)+(2*AL40)</f>
        <v>2</v>
      </c>
      <c r="DK40" s="461">
        <f>(2*BE40)+(2*AM40)</f>
        <v>24</v>
      </c>
      <c r="DL40" s="461">
        <f>(2*BF40)+(2*AN40)</f>
        <v>2796</v>
      </c>
      <c r="DM40" s="460">
        <v>1</v>
      </c>
      <c r="DN40" s="459">
        <f>DM40/DI40</f>
        <v>0.5</v>
      </c>
      <c r="DO40" s="458">
        <f>IF(DJ40&lt;30,DJ40,DJ40-(DR40*30))</f>
        <v>2</v>
      </c>
      <c r="DP40" s="458">
        <f>IF((DK40+DS40)&gt;11,(DK40+DR40)-(DS40*12),DK40)</f>
        <v>0</v>
      </c>
      <c r="DQ40" s="458">
        <f>DL40+DS40</f>
        <v>2798</v>
      </c>
      <c r="DR40" s="457">
        <f>INT(DJ40/30)</f>
        <v>0</v>
      </c>
      <c r="DS40" s="457">
        <f>INT((DR40+DK40)/12)</f>
        <v>2</v>
      </c>
      <c r="DT40" s="456">
        <f>IF(AND(Y40&gt;1387,AT40&gt;1387),DO40,0)</f>
        <v>0</v>
      </c>
      <c r="DU40" s="456">
        <f>IF(AND(Y40&gt;1387,AT40&gt;1387),DP40,0)</f>
        <v>0</v>
      </c>
      <c r="DV40" s="455">
        <f>IF(AND(Y40&gt;1387,AT40&gt;1387),DQ40,0)</f>
        <v>0</v>
      </c>
      <c r="DW40" s="454">
        <f>CN40+DF40+DT40</f>
        <v>1</v>
      </c>
      <c r="DX40" s="382">
        <f>CO40+DG40+DU40</f>
        <v>11</v>
      </c>
      <c r="DY40" s="383">
        <f>CP40+DH40+DV40</f>
        <v>1409</v>
      </c>
    </row>
    <row r="41" spans="1:129">
      <c r="A41" s="424"/>
      <c r="B41" s="424"/>
      <c r="C41" s="424">
        <v>1399</v>
      </c>
      <c r="O41" s="424"/>
    </row>
    <row r="42" spans="1:129">
      <c r="A42" s="424"/>
      <c r="B42" s="424"/>
      <c r="C42" s="424">
        <v>1400</v>
      </c>
      <c r="O42" s="424"/>
    </row>
    <row r="43" spans="1:129">
      <c r="A43" s="424"/>
      <c r="B43" s="424"/>
      <c r="C43" s="424">
        <v>1401</v>
      </c>
      <c r="O43" s="424"/>
    </row>
    <row r="44" spans="1:129">
      <c r="A44" s="424"/>
      <c r="B44" s="424"/>
      <c r="C44" s="424">
        <v>1402</v>
      </c>
      <c r="O44" s="424"/>
    </row>
    <row r="45" spans="1:129" ht="15" thickBot="1">
      <c r="A45" s="424"/>
      <c r="B45" s="424"/>
      <c r="C45" s="424">
        <v>1403</v>
      </c>
      <c r="O45" s="424"/>
    </row>
    <row r="46" spans="1:129" ht="21.75" thickBot="1">
      <c r="A46" s="424"/>
      <c r="B46" s="424"/>
      <c r="C46" s="424">
        <v>1404</v>
      </c>
      <c r="E46" s="475">
        <f>IF(N21=Sheet1!C66,T49,DW50)</f>
        <v>0</v>
      </c>
      <c r="F46" s="475">
        <f>IF(N21=Sheet1!C66,U49,DX50)</f>
        <v>0</v>
      </c>
      <c r="G46" s="475">
        <f>IF(N21=Sheet1!C66,V49,DY50)</f>
        <v>0</v>
      </c>
      <c r="H46" s="474">
        <f>IF(N21=Sheet1!C65,T34,DW35)</f>
        <v>0</v>
      </c>
      <c r="I46" s="473">
        <f>IF(N21=Sheet1!C65,U34,DX35)</f>
        <v>0</v>
      </c>
      <c r="J46" s="473">
        <f>IF(N21=Sheet1!C65,V34,DY35)</f>
        <v>0</v>
      </c>
      <c r="K46" s="472">
        <f>IF(N21='کاربرگ ورود اطلاعات'!F23,T39,DW40)</f>
        <v>1</v>
      </c>
      <c r="L46" s="472">
        <f>IF(N21='کاربرگ ورود اطلاعات'!F23,U39,DX40)</f>
        <v>0</v>
      </c>
      <c r="M46" s="472">
        <f>IF(N21='کاربرگ ورود اطلاعات'!F23,V39,DY40)</f>
        <v>1399</v>
      </c>
      <c r="N46" s="471">
        <f>H46+K46+E46</f>
        <v>1</v>
      </c>
      <c r="O46" s="471">
        <f>L46+I46+F46</f>
        <v>0</v>
      </c>
      <c r="P46" s="471">
        <f>M46+J46+G46</f>
        <v>1399</v>
      </c>
      <c r="Q46" s="399">
        <v>1</v>
      </c>
      <c r="R46" s="398">
        <f>INT(X46/Z46)</f>
        <v>1</v>
      </c>
      <c r="S46" s="398">
        <f>INT(V46/Z46)</f>
        <v>0</v>
      </c>
      <c r="T46" s="398">
        <f>INT(P46/Z46)</f>
        <v>1399</v>
      </c>
      <c r="U46" s="400">
        <f>P46-(Z46*T46)</f>
        <v>0</v>
      </c>
      <c r="V46" s="400">
        <f>(U46*12)+O46</f>
        <v>0</v>
      </c>
      <c r="W46" s="400">
        <f>V46-(Z46*S46)</f>
        <v>0</v>
      </c>
      <c r="X46" s="400">
        <f>(W46*30)+N46</f>
        <v>1</v>
      </c>
      <c r="Y46" s="400">
        <v>1</v>
      </c>
      <c r="Z46" s="400">
        <f>Y46/Q46</f>
        <v>1</v>
      </c>
      <c r="AA46" s="401">
        <f>IF(R46&lt;30,R46,R46-(AD46*30))</f>
        <v>1</v>
      </c>
      <c r="AB46" s="401">
        <f>IF((S46+AD46)&gt;11,(S46+AD46)-(AE46*12),(S46+AD46))</f>
        <v>0</v>
      </c>
      <c r="AC46" s="401">
        <f>T46+AE46</f>
        <v>1399</v>
      </c>
      <c r="AD46" s="400">
        <f>INT(R46/30)</f>
        <v>0</v>
      </c>
      <c r="AE46" s="402">
        <f>INT((AD46+S46)/12)</f>
        <v>0</v>
      </c>
      <c r="AF46" s="403">
        <f>AA46</f>
        <v>1</v>
      </c>
      <c r="AG46" s="404">
        <f>IF(AB46&gt;11,AB46-12,AB46)</f>
        <v>0</v>
      </c>
      <c r="AH46" s="405">
        <f>AI46+AC46</f>
        <v>1399</v>
      </c>
      <c r="AI46" s="406">
        <f>INT(AB46/12)</f>
        <v>0</v>
      </c>
      <c r="AJ46" s="470" t="s">
        <v>447</v>
      </c>
    </row>
    <row r="47" spans="1:129">
      <c r="A47" s="424"/>
      <c r="B47" s="424"/>
      <c r="C47" s="424">
        <v>1405</v>
      </c>
      <c r="O47" s="424"/>
    </row>
    <row r="48" spans="1:129" ht="15" thickBot="1">
      <c r="A48" s="424"/>
      <c r="B48" s="424"/>
      <c r="C48" s="424">
        <v>1406</v>
      </c>
      <c r="O48" s="424"/>
    </row>
    <row r="49" spans="1:129" ht="18.75" thickBot="1">
      <c r="A49" s="424"/>
      <c r="B49" s="424"/>
      <c r="C49" s="424">
        <v>1407</v>
      </c>
      <c r="E49" s="469">
        <f>Sheet1!D66</f>
        <v>0</v>
      </c>
      <c r="F49" s="381">
        <f>Sheet1!E66</f>
        <v>0</v>
      </c>
      <c r="G49" s="381">
        <f>Sheet1!F66</f>
        <v>0</v>
      </c>
      <c r="H49" s="380">
        <f>Sheet1!G66</f>
        <v>0</v>
      </c>
      <c r="I49" s="380">
        <f>Sheet1!H66</f>
        <v>0</v>
      </c>
      <c r="J49" s="380">
        <f>Sheet1!I66</f>
        <v>0</v>
      </c>
      <c r="K49" s="380">
        <f>IF(H49&gt;E49,H49-E49,H49+30-E49)</f>
        <v>30</v>
      </c>
      <c r="L49" s="381">
        <f>IF(H49&gt;E49,I49,I49-1)</f>
        <v>-1</v>
      </c>
      <c r="M49" s="381">
        <f>IF(L49&gt;F49,J49,J49-1)</f>
        <v>-1</v>
      </c>
      <c r="N49" s="380">
        <f>K49</f>
        <v>30</v>
      </c>
      <c r="O49" s="380">
        <f>IF(L49&gt;F49,L49-F49,L49+12-F49)</f>
        <v>11</v>
      </c>
      <c r="P49" s="380">
        <f>M49-G49</f>
        <v>-1</v>
      </c>
      <c r="Q49" s="380">
        <f>IF(N49&gt;29,0,N49)</f>
        <v>0</v>
      </c>
      <c r="R49" s="380">
        <f>IF(N49&gt;29,O49+1,O49)</f>
        <v>12</v>
      </c>
      <c r="S49" s="380">
        <f>IF(R49&gt;11,P49+1,P49)</f>
        <v>0</v>
      </c>
      <c r="T49" s="382">
        <f>Q49</f>
        <v>0</v>
      </c>
      <c r="U49" s="382">
        <f>IF(R49&gt;11,R49-12,R49)</f>
        <v>0</v>
      </c>
      <c r="V49" s="383">
        <f>S49</f>
        <v>0</v>
      </c>
    </row>
    <row r="50" spans="1:129" ht="18.75" thickBot="1">
      <c r="A50" s="424"/>
      <c r="B50" s="424"/>
      <c r="C50" s="424">
        <v>1408</v>
      </c>
      <c r="E50" s="469">
        <f>Sheet1!D66</f>
        <v>0</v>
      </c>
      <c r="F50" s="381">
        <f>Sheet1!E66</f>
        <v>0</v>
      </c>
      <c r="G50" s="381">
        <f>Sheet1!F66</f>
        <v>0</v>
      </c>
      <c r="H50" s="380">
        <f>Sheet1!G66</f>
        <v>0</v>
      </c>
      <c r="I50" s="380">
        <f>Sheet1!H66</f>
        <v>0</v>
      </c>
      <c r="J50" s="380">
        <f>Sheet1!I66</f>
        <v>0</v>
      </c>
      <c r="K50" s="380">
        <f>IF(H50&gt;E50,H50-E50,H50+30-E50)</f>
        <v>30</v>
      </c>
      <c r="L50" s="381">
        <f>IF(H50&gt;E50,I50,I50-1)</f>
        <v>-1</v>
      </c>
      <c r="M50" s="381">
        <f>IF(L50&gt;F50,J50,J50-1)</f>
        <v>-1</v>
      </c>
      <c r="N50" s="380">
        <f>K50</f>
        <v>30</v>
      </c>
      <c r="O50" s="380">
        <f>IF(L50&gt;F50,L50-F50,L50+12-F50)</f>
        <v>11</v>
      </c>
      <c r="P50" s="380">
        <f>M50-G50</f>
        <v>-1</v>
      </c>
      <c r="Q50" s="380">
        <f>IF(N50&gt;29,0,N50)</f>
        <v>0</v>
      </c>
      <c r="R50" s="380">
        <f>IF(N50&gt;29,O50+1,O50)</f>
        <v>12</v>
      </c>
      <c r="S50" s="380">
        <f>IF(R50&gt;11,P50+1,P50)</f>
        <v>0</v>
      </c>
      <c r="T50" s="382">
        <f>Q50</f>
        <v>0</v>
      </c>
      <c r="U50" s="382">
        <f>IF(R50&gt;11,R50-12,R50)</f>
        <v>0</v>
      </c>
      <c r="V50" s="383">
        <f>S50</f>
        <v>0</v>
      </c>
      <c r="W50" s="378">
        <f>E50</f>
        <v>0</v>
      </c>
      <c r="X50" s="379">
        <f>F50</f>
        <v>0</v>
      </c>
      <c r="Y50" s="379">
        <f>G50</f>
        <v>0</v>
      </c>
      <c r="Z50" s="379">
        <v>1</v>
      </c>
      <c r="AA50" s="379">
        <v>1</v>
      </c>
      <c r="AB50" s="379">
        <v>1388</v>
      </c>
      <c r="AC50" s="468">
        <f>IF(Z50&gt;W50,Z50-W50,Z50+30-W50)</f>
        <v>1</v>
      </c>
      <c r="AD50" s="467">
        <f>IF(Z50&gt;W50,AA50,AA50-1)</f>
        <v>1</v>
      </c>
      <c r="AE50" s="381">
        <f>IF(AD50&gt;X50,AB50,AB50-1)</f>
        <v>1388</v>
      </c>
      <c r="AF50" s="380">
        <f>AC50</f>
        <v>1</v>
      </c>
      <c r="AG50" s="380">
        <f>IF(AD50&gt;X50,AD50-X50,AD50+12-X50)</f>
        <v>1</v>
      </c>
      <c r="AH50" s="380">
        <f>AE50-Y50</f>
        <v>1388</v>
      </c>
      <c r="AI50" s="380">
        <f>IF(AF50&gt;29,0,AF50)</f>
        <v>1</v>
      </c>
      <c r="AJ50" s="380">
        <f>IF(AF50&gt;29,AG50+1,AG50)</f>
        <v>1</v>
      </c>
      <c r="AK50" s="380">
        <f>IF(AJ50&gt;11,AH50+1,AH50)</f>
        <v>1388</v>
      </c>
      <c r="AL50" s="466">
        <f>AI50</f>
        <v>1</v>
      </c>
      <c r="AM50" s="466">
        <f>IF(AJ50&gt;11,0,AJ50)</f>
        <v>1</v>
      </c>
      <c r="AN50" s="466">
        <f>AK50</f>
        <v>1388</v>
      </c>
      <c r="AO50" s="378">
        <v>1</v>
      </c>
      <c r="AP50" s="379">
        <v>1</v>
      </c>
      <c r="AQ50" s="379">
        <v>1388</v>
      </c>
      <c r="AR50" s="379">
        <f>H50</f>
        <v>0</v>
      </c>
      <c r="AS50" s="379">
        <f>I50</f>
        <v>0</v>
      </c>
      <c r="AT50" s="379">
        <f>J50</f>
        <v>0</v>
      </c>
      <c r="AU50" s="468">
        <f>IF(AR50&gt;AO50,AR50-AO50,AR50+30-AO50)</f>
        <v>29</v>
      </c>
      <c r="AV50" s="467">
        <f>IF(AR50&gt;AO50,AS50,AS50-1)</f>
        <v>-1</v>
      </c>
      <c r="AW50" s="381">
        <f>IF(AV50&gt;AP50,AT50,AT50-1)</f>
        <v>-1</v>
      </c>
      <c r="AX50" s="380">
        <f>AU50</f>
        <v>29</v>
      </c>
      <c r="AY50" s="380">
        <f>IF(AV50&gt;AP50,AV50-AP50,AV50+12-AP50)</f>
        <v>10</v>
      </c>
      <c r="AZ50" s="380">
        <f>AW50-AQ50</f>
        <v>-1389</v>
      </c>
      <c r="BA50" s="380">
        <f>IF(AX50&gt;29,0,AX50)</f>
        <v>29</v>
      </c>
      <c r="BB50" s="380">
        <f>IF(AX50&gt;29,AY50+1,AY50)</f>
        <v>10</v>
      </c>
      <c r="BC50" s="380">
        <f>IF(BB50&gt;11,AZ50+1,AZ50)</f>
        <v>-1389</v>
      </c>
      <c r="BD50" s="466">
        <f>BA50</f>
        <v>29</v>
      </c>
      <c r="BE50" s="466">
        <f>IF(BB50&gt;11,0,BB50)</f>
        <v>10</v>
      </c>
      <c r="BF50" s="466">
        <f>BC50</f>
        <v>-1389</v>
      </c>
      <c r="BG50" s="465">
        <f>BD50</f>
        <v>29</v>
      </c>
      <c r="BH50" s="408">
        <f>BE50</f>
        <v>10</v>
      </c>
      <c r="BI50" s="461">
        <f>BF50</f>
        <v>-1389</v>
      </c>
      <c r="BJ50" s="463">
        <v>2</v>
      </c>
      <c r="BK50" s="462">
        <f>INT(BQ50/BS50)</f>
        <v>58</v>
      </c>
      <c r="BL50" s="461">
        <f>INT(BO50/BS50)</f>
        <v>20</v>
      </c>
      <c r="BM50" s="461">
        <f>INT(BI50/BS50)</f>
        <v>-2778</v>
      </c>
      <c r="BN50" s="457">
        <f>BI50-(BS50*BM50)</f>
        <v>0</v>
      </c>
      <c r="BO50" s="457">
        <f>(BN50*12)+BH50</f>
        <v>10</v>
      </c>
      <c r="BP50" s="457">
        <f>BO50-(BS50*BL50)</f>
        <v>0</v>
      </c>
      <c r="BQ50" s="460">
        <f>(BP50*30)+BG50</f>
        <v>29</v>
      </c>
      <c r="BR50" s="460">
        <v>1</v>
      </c>
      <c r="BS50" s="459">
        <f>BR50/BJ50</f>
        <v>0.5</v>
      </c>
      <c r="BT50" s="464">
        <f>IF(BK50&lt;30,BK50,BK50-(BW50*30))</f>
        <v>28</v>
      </c>
      <c r="BU50" s="464">
        <f>IF(BL50&gt;12,(BL50+BW50)-(BX50*12),BL50)</f>
        <v>9</v>
      </c>
      <c r="BV50" s="464">
        <f>BM50+BX50</f>
        <v>-2777</v>
      </c>
      <c r="BW50" s="457">
        <f>INT(BK50/30)</f>
        <v>1</v>
      </c>
      <c r="BX50" s="460">
        <f>INT((BW50+BL50)/12)</f>
        <v>1</v>
      </c>
      <c r="BY50" s="463">
        <v>2</v>
      </c>
      <c r="BZ50" s="462">
        <f>BT50+AL50</f>
        <v>29</v>
      </c>
      <c r="CA50" s="461">
        <f>BU50+AM50</f>
        <v>10</v>
      </c>
      <c r="CB50" s="461">
        <f>BV50+AN50</f>
        <v>-1389</v>
      </c>
      <c r="CC50" s="457">
        <f>BX50-(CH50*CB50)</f>
        <v>695.5</v>
      </c>
      <c r="CD50" s="457">
        <f>(CC50*12)+BW50</f>
        <v>8347</v>
      </c>
      <c r="CE50" s="457">
        <f>CD50-(CH50*CA50)</f>
        <v>8342</v>
      </c>
      <c r="CF50" s="460">
        <f>(CE50*30)+BV50</f>
        <v>247483</v>
      </c>
      <c r="CG50" s="460">
        <v>1</v>
      </c>
      <c r="CH50" s="459">
        <f>CG50/BY50</f>
        <v>0.5</v>
      </c>
      <c r="CI50" s="458">
        <f>IF(BZ50&lt;30,BZ50,BZ50-(CL50*30))</f>
        <v>29</v>
      </c>
      <c r="CJ50" s="458">
        <f>IF((CA50+CM50)&gt;11,(CA50+CL50)-(CM50*12),CA50)</f>
        <v>10</v>
      </c>
      <c r="CK50" s="458">
        <f>CB50+CM50</f>
        <v>-1389</v>
      </c>
      <c r="CL50" s="457">
        <f>INT(BZ50/30)</f>
        <v>0</v>
      </c>
      <c r="CM50" s="457">
        <f>INT((CL50+CA50)/12)</f>
        <v>0</v>
      </c>
      <c r="CN50" s="456">
        <f>IF(AND(Y50&lt;1388,AT50&gt;1387),CI50,0)</f>
        <v>0</v>
      </c>
      <c r="CO50" s="456">
        <f>IF(AND(Y50&lt;1388,AT50&gt;1387),CJ50,0)</f>
        <v>0</v>
      </c>
      <c r="CP50" s="455">
        <f>IF(AND(Y50&lt;1388,AT50&gt;1387),CK50,0)</f>
        <v>0</v>
      </c>
      <c r="CQ50" s="463">
        <v>2</v>
      </c>
      <c r="CR50" s="462">
        <f>AL50+BD50</f>
        <v>30</v>
      </c>
      <c r="CS50" s="461">
        <f>AM50+BE50</f>
        <v>11</v>
      </c>
      <c r="CT50" s="461">
        <f>AN50+BF50</f>
        <v>-1</v>
      </c>
      <c r="CU50" s="457">
        <f>CP50-(CZ50*CT50)</f>
        <v>0.5</v>
      </c>
      <c r="CV50" s="457">
        <f>(CU50*12)+CO50</f>
        <v>6</v>
      </c>
      <c r="CW50" s="457">
        <f>CV50-(CZ50*CS50)</f>
        <v>0.5</v>
      </c>
      <c r="CX50" s="460">
        <f>(CW50*30)+CN50</f>
        <v>15</v>
      </c>
      <c r="CY50" s="460">
        <v>1</v>
      </c>
      <c r="CZ50" s="459">
        <f>CY50/CQ50</f>
        <v>0.5</v>
      </c>
      <c r="DA50" s="458">
        <f>IF(CR50&lt;30,CR50,CR50-(DD50*30))</f>
        <v>0</v>
      </c>
      <c r="DB50" s="458">
        <f>IF((CS50+DE50)&gt;11,(CS50+DD50)-(DE50*12),CS50)</f>
        <v>0</v>
      </c>
      <c r="DC50" s="458">
        <f>CT50+DE50</f>
        <v>0</v>
      </c>
      <c r="DD50" s="457">
        <f>INT(CR50/30)</f>
        <v>1</v>
      </c>
      <c r="DE50" s="457">
        <f>INT((DD50+CS50)/12)</f>
        <v>1</v>
      </c>
      <c r="DF50" s="456">
        <f>IF(AND(Y50&lt;1388,AT50&lt;1388),DA50,0)</f>
        <v>0</v>
      </c>
      <c r="DG50" s="456">
        <f>IF(AND(Y50&lt;1388,AT50&lt;1388),DB50,0)</f>
        <v>0</v>
      </c>
      <c r="DH50" s="455">
        <f>IF(AND(Y50&lt;1388,AT50&lt;1388),DC50,0)</f>
        <v>0</v>
      </c>
      <c r="DI50" s="463">
        <v>2</v>
      </c>
      <c r="DJ50" s="462">
        <f>(2*BD50)+(2*AL50)</f>
        <v>60</v>
      </c>
      <c r="DK50" s="461">
        <f>(2*BE50)+(2*AM50)</f>
        <v>22</v>
      </c>
      <c r="DL50" s="461">
        <f>(2*BF50)+(2*AN50)</f>
        <v>-2</v>
      </c>
      <c r="DM50" s="460">
        <v>1</v>
      </c>
      <c r="DN50" s="459">
        <f>DM50/DI50</f>
        <v>0.5</v>
      </c>
      <c r="DO50" s="458">
        <f>IF(DJ50&lt;30,DJ50,DJ50-(DR50*30))</f>
        <v>0</v>
      </c>
      <c r="DP50" s="458">
        <f>IF((DK50+DS50)&gt;11,(DK50+DR50)-(DS50*12),DK50)</f>
        <v>0</v>
      </c>
      <c r="DQ50" s="458">
        <f>DL50+DS50</f>
        <v>0</v>
      </c>
      <c r="DR50" s="457">
        <f>INT(DJ50/30)</f>
        <v>2</v>
      </c>
      <c r="DS50" s="457">
        <f>INT((DR50+DK50)/12)</f>
        <v>2</v>
      </c>
      <c r="DT50" s="456">
        <f>IF(AND(Y50&gt;1387,AT50&gt;1387),DO50,0)</f>
        <v>0</v>
      </c>
      <c r="DU50" s="456">
        <f>IF(AND(Y50&gt;1387,AT50&gt;1387),DP50,0)</f>
        <v>0</v>
      </c>
      <c r="DV50" s="455">
        <f>IF(AND(Y50&gt;1387,AT50&gt;1387),DQ50,0)</f>
        <v>0</v>
      </c>
      <c r="DW50" s="454">
        <f>CN50+DF50+DT50</f>
        <v>0</v>
      </c>
      <c r="DX50" s="382">
        <f>CO50+DG50+DU50</f>
        <v>0</v>
      </c>
      <c r="DY50" s="383">
        <f>CP50+DH50+DV50</f>
        <v>0</v>
      </c>
    </row>
    <row r="51" spans="1:129">
      <c r="A51" s="424"/>
      <c r="B51" s="424"/>
      <c r="C51" s="424">
        <v>1409</v>
      </c>
      <c r="O51" s="424"/>
    </row>
    <row r="52" spans="1:129">
      <c r="A52" s="424"/>
      <c r="B52" s="424"/>
      <c r="C52" s="424">
        <v>1410</v>
      </c>
      <c r="O52" s="424"/>
    </row>
    <row r="53" spans="1:129">
      <c r="A53" s="424"/>
      <c r="B53" s="424"/>
      <c r="C53" s="424"/>
      <c r="O53" s="424"/>
    </row>
    <row r="54" spans="1:129">
      <c r="A54" s="424"/>
      <c r="B54" s="424"/>
      <c r="C54" s="424"/>
      <c r="O54" s="424"/>
    </row>
    <row r="55" spans="1:129">
      <c r="A55" s="424"/>
      <c r="B55" s="424"/>
      <c r="C55" s="424"/>
      <c r="O55" s="424"/>
    </row>
    <row r="56" spans="1:129">
      <c r="A56" s="424"/>
      <c r="B56" s="424"/>
      <c r="C56" s="424"/>
      <c r="O56" s="424"/>
    </row>
    <row r="57" spans="1:129">
      <c r="A57" s="424"/>
      <c r="B57" s="424"/>
      <c r="C57" s="424"/>
      <c r="O57" s="424"/>
    </row>
    <row r="58" spans="1:129" ht="20.25">
      <c r="A58" s="425"/>
      <c r="B58" s="425"/>
      <c r="C58" s="425"/>
      <c r="D58" s="948" t="s">
        <v>468</v>
      </c>
      <c r="E58" s="949"/>
      <c r="F58" s="949"/>
      <c r="G58" s="949"/>
      <c r="H58" s="949"/>
      <c r="I58" s="949"/>
      <c r="J58" s="949"/>
      <c r="K58" s="949"/>
      <c r="L58" s="949"/>
      <c r="M58" s="425"/>
      <c r="O58" s="424"/>
    </row>
    <row r="59" spans="1:129" ht="18">
      <c r="A59" s="425"/>
      <c r="B59" s="425"/>
      <c r="C59" s="425"/>
      <c r="D59" s="950" t="s">
        <v>467</v>
      </c>
      <c r="E59" s="951"/>
      <c r="F59" s="951"/>
      <c r="G59" s="951"/>
      <c r="H59" s="951"/>
      <c r="I59" s="951"/>
      <c r="J59" s="951"/>
      <c r="K59" s="951"/>
      <c r="L59" s="951"/>
      <c r="M59" s="425"/>
      <c r="O59" s="424"/>
    </row>
    <row r="60" spans="1:129" ht="18.75" thickBot="1">
      <c r="A60" s="425"/>
      <c r="B60" s="425"/>
      <c r="C60" s="425"/>
      <c r="D60" s="425"/>
      <c r="E60" s="425"/>
      <c r="F60" s="425"/>
      <c r="G60" s="425"/>
      <c r="H60" s="425"/>
      <c r="I60" s="425"/>
      <c r="J60" s="425"/>
      <c r="K60" s="425"/>
      <c r="L60" s="425"/>
      <c r="M60" s="425"/>
      <c r="O60" s="424"/>
    </row>
    <row r="61" spans="1:129" ht="18.75" thickBot="1">
      <c r="A61" s="425"/>
      <c r="B61" s="425"/>
      <c r="C61" s="425"/>
      <c r="D61" s="959" t="s">
        <v>114</v>
      </c>
      <c r="E61" s="960"/>
      <c r="F61" s="961" t="str">
        <f>'کاربرگ ورود اطلاعات'!I8</f>
        <v>لیسانس</v>
      </c>
      <c r="G61" s="962"/>
      <c r="H61" s="425"/>
      <c r="I61" s="959" t="s">
        <v>466</v>
      </c>
      <c r="J61" s="960"/>
      <c r="K61" s="960"/>
      <c r="L61" s="453">
        <v>28</v>
      </c>
      <c r="M61" s="425"/>
      <c r="O61" s="424"/>
    </row>
    <row r="62" spans="1:129" ht="18">
      <c r="A62" s="425"/>
      <c r="B62" s="452"/>
      <c r="C62" s="452"/>
      <c r="D62" s="425"/>
      <c r="E62" s="425"/>
      <c r="F62" s="425"/>
      <c r="G62" s="425"/>
      <c r="H62" s="425"/>
      <c r="I62" s="425"/>
      <c r="J62" s="425"/>
      <c r="K62" s="425"/>
      <c r="L62" s="425"/>
      <c r="M62" s="425"/>
      <c r="O62" s="424"/>
    </row>
    <row r="63" spans="1:129" ht="24.75" thickBot="1">
      <c r="A63" s="425"/>
      <c r="B63" s="963"/>
      <c r="C63" s="963"/>
      <c r="J63" s="676" t="s">
        <v>463</v>
      </c>
      <c r="K63" s="676"/>
      <c r="L63" s="676"/>
      <c r="M63" s="425"/>
      <c r="O63" s="424"/>
    </row>
    <row r="64" spans="1:129" ht="21.75" thickBot="1">
      <c r="A64" s="425"/>
      <c r="C64" s="449" t="s">
        <v>461</v>
      </c>
      <c r="J64" s="451" t="s">
        <v>460</v>
      </c>
      <c r="K64" s="450" t="s">
        <v>116</v>
      </c>
      <c r="L64" s="449" t="s">
        <v>115</v>
      </c>
      <c r="M64" s="425"/>
      <c r="O64" s="424"/>
    </row>
    <row r="65" spans="1:31" ht="19.5">
      <c r="A65" s="425"/>
      <c r="B65" s="448" t="s">
        <v>459</v>
      </c>
      <c r="C65" s="447" t="s">
        <v>457</v>
      </c>
      <c r="D65" s="446">
        <v>0</v>
      </c>
      <c r="E65" s="445">
        <v>0</v>
      </c>
      <c r="F65" s="444">
        <v>0</v>
      </c>
      <c r="G65" s="446">
        <v>0</v>
      </c>
      <c r="H65" s="445">
        <v>0</v>
      </c>
      <c r="I65" s="444">
        <v>0</v>
      </c>
      <c r="J65" s="443">
        <f>Sheet1!H46</f>
        <v>0</v>
      </c>
      <c r="K65" s="442">
        <f>Sheet1!I46</f>
        <v>0</v>
      </c>
      <c r="L65" s="441">
        <f>Sheet1!J46</f>
        <v>0</v>
      </c>
      <c r="M65" s="425"/>
      <c r="O65" s="424"/>
    </row>
    <row r="66" spans="1:31" ht="19.5">
      <c r="A66" s="425"/>
      <c r="B66" s="440" t="s">
        <v>458</v>
      </c>
      <c r="C66" s="439" t="s">
        <v>457</v>
      </c>
      <c r="D66" s="438">
        <v>0</v>
      </c>
      <c r="E66" s="437">
        <v>0</v>
      </c>
      <c r="F66" s="436">
        <v>0</v>
      </c>
      <c r="G66" s="438">
        <v>0</v>
      </c>
      <c r="H66" s="437">
        <v>0</v>
      </c>
      <c r="I66" s="436">
        <v>0</v>
      </c>
      <c r="J66" s="435">
        <f>Sheet1!E46</f>
        <v>0</v>
      </c>
      <c r="K66" s="434">
        <f>Sheet1!F46</f>
        <v>0</v>
      </c>
      <c r="L66" s="433">
        <f>Sheet1!G46</f>
        <v>0</v>
      </c>
      <c r="M66" s="425"/>
      <c r="O66" s="424"/>
    </row>
    <row r="67" spans="1:31" ht="20.25" thickBot="1">
      <c r="A67" s="425"/>
      <c r="J67" s="431">
        <f>Sheet1!K46</f>
        <v>1</v>
      </c>
      <c r="K67" s="430">
        <f>Sheet1!L46</f>
        <v>0</v>
      </c>
      <c r="L67" s="429">
        <f>Sheet1!M46</f>
        <v>1399</v>
      </c>
      <c r="M67" s="425"/>
      <c r="O67" s="424"/>
    </row>
    <row r="68" spans="1:31" ht="18.75" thickBot="1">
      <c r="A68" s="425"/>
      <c r="B68" s="425"/>
      <c r="C68" s="425"/>
      <c r="D68" s="425"/>
      <c r="E68" s="425"/>
      <c r="F68" s="425"/>
      <c r="G68" s="425"/>
      <c r="H68" s="425"/>
      <c r="I68" s="425"/>
      <c r="J68" s="425"/>
      <c r="K68" s="425"/>
      <c r="L68" s="425"/>
      <c r="M68" s="425"/>
      <c r="O68" s="424"/>
    </row>
    <row r="69" spans="1:31" ht="19.5" thickTop="1" thickBot="1">
      <c r="A69" s="425"/>
      <c r="B69" s="425"/>
      <c r="C69" s="425"/>
      <c r="D69" s="967" t="s">
        <v>455</v>
      </c>
      <c r="E69" s="967"/>
      <c r="F69" s="967"/>
      <c r="G69" s="967"/>
      <c r="H69" s="967"/>
      <c r="I69" s="967"/>
      <c r="J69" s="428">
        <f>W92</f>
        <v>1</v>
      </c>
      <c r="K69" s="428">
        <f>X92</f>
        <v>0</v>
      </c>
      <c r="L69" s="428">
        <f>Y92</f>
        <v>1399</v>
      </c>
      <c r="M69" s="425"/>
      <c r="O69" s="424"/>
    </row>
    <row r="70" spans="1:31" ht="19.5" thickTop="1" thickBot="1">
      <c r="A70" s="425"/>
      <c r="B70" s="425"/>
      <c r="C70" s="425"/>
      <c r="D70" s="425"/>
      <c r="E70" s="425"/>
      <c r="F70" s="425"/>
      <c r="G70" s="425"/>
      <c r="H70" s="425"/>
      <c r="I70" s="425"/>
      <c r="J70" s="425"/>
      <c r="K70" s="425"/>
      <c r="L70" s="425"/>
      <c r="M70" s="425"/>
      <c r="O70" s="424"/>
    </row>
    <row r="71" spans="1:31" ht="21" thickBot="1">
      <c r="A71" s="425"/>
      <c r="E71" s="673" t="s">
        <v>37</v>
      </c>
      <c r="F71" s="968"/>
      <c r="G71" s="425"/>
      <c r="H71" s="953" t="s">
        <v>453</v>
      </c>
      <c r="I71" s="954"/>
      <c r="J71" s="954"/>
      <c r="K71" s="954"/>
      <c r="L71" s="955"/>
      <c r="M71" s="425"/>
      <c r="O71" s="424"/>
    </row>
    <row r="72" spans="1:31" ht="18.75" thickBot="1">
      <c r="A72" s="425"/>
      <c r="E72" s="969">
        <f>'جدول محاسبه حق شغل'!H10*2120</f>
        <v>6784000</v>
      </c>
      <c r="F72" s="970"/>
      <c r="G72" s="425"/>
      <c r="H72" s="956">
        <f>E76*L61%</f>
        <v>2968000.0000000005</v>
      </c>
      <c r="I72" s="957"/>
      <c r="J72" s="957"/>
      <c r="K72" s="957"/>
      <c r="L72" s="958"/>
      <c r="M72" s="425"/>
      <c r="O72" s="424"/>
    </row>
    <row r="73" spans="1:31" ht="18">
      <c r="A73" s="425"/>
      <c r="E73" s="971">
        <f>'جدول محاسبه حق شغل'!H11*2120</f>
        <v>2544000</v>
      </c>
      <c r="F73" s="972"/>
      <c r="G73" s="425"/>
      <c r="H73" s="425"/>
      <c r="I73" s="425"/>
      <c r="J73" s="425"/>
      <c r="K73" s="425"/>
      <c r="L73" s="425"/>
      <c r="M73" s="425"/>
    </row>
    <row r="74" spans="1:31" ht="18">
      <c r="A74" s="425"/>
      <c r="E74" s="945"/>
      <c r="F74" s="946"/>
      <c r="G74" s="425"/>
      <c r="H74" s="425"/>
      <c r="I74" s="425"/>
      <c r="J74" s="425"/>
      <c r="K74" s="425"/>
      <c r="L74" s="425"/>
      <c r="M74" s="425"/>
    </row>
    <row r="75" spans="1:31" ht="18.75" thickBot="1">
      <c r="A75" s="425"/>
      <c r="E75" s="973">
        <f>'جدول محاسبه حق شغل'!H13*2120</f>
        <v>1272000</v>
      </c>
      <c r="F75" s="974"/>
      <c r="G75" s="425"/>
      <c r="H75" s="951" t="s">
        <v>451</v>
      </c>
      <c r="I75" s="951"/>
      <c r="J75" s="951"/>
      <c r="K75" s="951"/>
      <c r="L75" s="951"/>
      <c r="M75" s="425"/>
    </row>
    <row r="76" spans="1:31" ht="18.75" thickBot="1">
      <c r="A76" s="425"/>
      <c r="E76" s="975">
        <f>SUM(E72:F75)</f>
        <v>10600000</v>
      </c>
      <c r="F76" s="976"/>
      <c r="G76" s="425"/>
      <c r="H76" s="952" t="s">
        <v>450</v>
      </c>
      <c r="I76" s="952"/>
      <c r="J76" s="952"/>
      <c r="K76" s="952"/>
      <c r="L76" s="952"/>
      <c r="M76" s="425"/>
    </row>
    <row r="77" spans="1:31" ht="18">
      <c r="A77" s="425"/>
      <c r="B77" s="425"/>
      <c r="C77" s="425"/>
      <c r="D77" s="425"/>
      <c r="E77" s="425"/>
      <c r="F77" s="425"/>
      <c r="G77" s="425"/>
      <c r="H77" s="425"/>
      <c r="I77" s="425"/>
      <c r="J77" s="425"/>
      <c r="K77" s="425"/>
      <c r="L77" s="425"/>
      <c r="M77" s="425"/>
      <c r="O77" s="424"/>
    </row>
    <row r="78" spans="1:31" ht="18">
      <c r="A78" s="425"/>
      <c r="B78" s="425"/>
      <c r="C78" s="425"/>
      <c r="D78" s="425"/>
      <c r="E78" s="425"/>
      <c r="F78" s="425"/>
      <c r="G78" s="425"/>
      <c r="H78" s="425"/>
      <c r="I78" s="425"/>
      <c r="J78" s="425"/>
      <c r="K78" s="425"/>
      <c r="L78" s="425"/>
      <c r="M78" s="425"/>
      <c r="O78" s="424"/>
    </row>
    <row r="79" spans="1:31" s="423" customFormat="1" ht="18.75" thickBot="1">
      <c r="A79" s="483"/>
      <c r="B79" s="483"/>
      <c r="C79" s="483"/>
      <c r="D79" s="483"/>
      <c r="E79" s="483"/>
      <c r="F79" s="483"/>
      <c r="G79" s="483"/>
      <c r="H79" s="483"/>
      <c r="I79" s="483"/>
      <c r="J79" s="483"/>
      <c r="K79" s="483"/>
      <c r="L79" s="483"/>
      <c r="M79" s="483"/>
      <c r="O79" s="484"/>
    </row>
    <row r="80" spans="1:31" ht="16.5" thickBot="1">
      <c r="A80" s="369"/>
      <c r="B80" s="370"/>
      <c r="C80" s="371">
        <f>'جدول محاسبه حق شغل'!C3</f>
        <v>0</v>
      </c>
      <c r="D80" s="372">
        <f>'جدول محاسبه حق شغل'!D3</f>
        <v>0</v>
      </c>
      <c r="E80" s="373">
        <f>'جدول محاسبه حق شغل'!E3</f>
        <v>0</v>
      </c>
      <c r="F80" s="370"/>
      <c r="G80" s="370"/>
      <c r="H80" s="371">
        <f>'جدول محاسبه حق شغل'!F3</f>
        <v>1</v>
      </c>
      <c r="I80" s="372">
        <f>'جدول محاسبه حق شغل'!G3</f>
        <v>12</v>
      </c>
      <c r="J80" s="373">
        <f>'جدول محاسبه حق شغل'!H3</f>
        <v>1398</v>
      </c>
      <c r="K80" s="370"/>
      <c r="L80" s="370"/>
      <c r="M80" s="370"/>
      <c r="N80" s="370"/>
      <c r="O80" s="370"/>
      <c r="P80" s="370"/>
      <c r="Q80" s="370"/>
      <c r="R80" s="370"/>
      <c r="S80" s="370"/>
      <c r="T80" s="370"/>
      <c r="U80" s="370"/>
      <c r="V80" s="370"/>
      <c r="W80" s="370"/>
      <c r="X80" s="370"/>
      <c r="Y80" s="370"/>
      <c r="Z80" s="370"/>
      <c r="AA80" s="370"/>
      <c r="AB80" s="370"/>
      <c r="AC80" s="370"/>
      <c r="AD80" s="370"/>
      <c r="AE80" s="374"/>
    </row>
    <row r="81" spans="1:31" ht="15" thickBot="1">
      <c r="A81" s="375"/>
      <c r="B81" s="376"/>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7"/>
    </row>
    <row r="82" spans="1:31" ht="18.75" thickBot="1">
      <c r="A82" s="375"/>
      <c r="B82" s="421">
        <f>C80</f>
        <v>0</v>
      </c>
      <c r="C82" s="422">
        <f>D80</f>
        <v>0</v>
      </c>
      <c r="D82" s="422">
        <f>E80</f>
        <v>0</v>
      </c>
      <c r="E82" s="422">
        <f>H80</f>
        <v>1</v>
      </c>
      <c r="F82" s="422">
        <f>I80</f>
        <v>12</v>
      </c>
      <c r="G82" s="422">
        <f>J80</f>
        <v>1398</v>
      </c>
      <c r="H82" s="380">
        <f>IF(E82&gt;B82,E82-B82,E82+30-B82)</f>
        <v>1</v>
      </c>
      <c r="I82" s="381">
        <f>IF(E82&gt;B82,F82,F82-1)</f>
        <v>12</v>
      </c>
      <c r="J82" s="381">
        <f>IF(I82&gt;C82,G82,G82-1)</f>
        <v>1398</v>
      </c>
      <c r="K82" s="380">
        <f>H82</f>
        <v>1</v>
      </c>
      <c r="L82" s="380">
        <f>IF(I82&gt;C82,I82-C82,I82+12-C82)</f>
        <v>12</v>
      </c>
      <c r="M82" s="380">
        <f>J82-D82</f>
        <v>1398</v>
      </c>
      <c r="N82" s="380">
        <f>IF(K82&gt;29,0,K82)</f>
        <v>1</v>
      </c>
      <c r="O82" s="380">
        <f>IF(K82&gt;29,L82+1,L82)</f>
        <v>12</v>
      </c>
      <c r="P82" s="380">
        <f>IF(O82&gt;11,M82+1,M82)</f>
        <v>1399</v>
      </c>
      <c r="Q82" s="419">
        <f>N82</f>
        <v>1</v>
      </c>
      <c r="R82" s="419">
        <f>IF(O82&gt;11,O82-12,O82)</f>
        <v>0</v>
      </c>
      <c r="S82" s="420">
        <f>P82</f>
        <v>1399</v>
      </c>
      <c r="T82" s="977" t="s">
        <v>448</v>
      </c>
      <c r="U82" s="978"/>
      <c r="V82" s="376"/>
      <c r="W82" s="376"/>
      <c r="X82" s="376"/>
      <c r="Y82" s="376"/>
      <c r="Z82" s="376"/>
      <c r="AA82" s="376"/>
      <c r="AB82" s="376"/>
      <c r="AC82" s="376"/>
      <c r="AD82" s="376"/>
      <c r="AE82" s="377"/>
    </row>
    <row r="83" spans="1:31" ht="15" thickBot="1">
      <c r="A83" s="375"/>
      <c r="B83" s="376"/>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7"/>
    </row>
    <row r="84" spans="1:31" ht="18.75" thickBot="1">
      <c r="A84" s="375"/>
      <c r="B84" s="378">
        <f>C80</f>
        <v>0</v>
      </c>
      <c r="C84" s="379">
        <f>D80</f>
        <v>0</v>
      </c>
      <c r="D84" s="379">
        <f>E80</f>
        <v>0</v>
      </c>
      <c r="E84" s="379">
        <v>1</v>
      </c>
      <c r="F84" s="379">
        <v>1</v>
      </c>
      <c r="G84" s="379">
        <v>1388</v>
      </c>
      <c r="H84" s="380">
        <f>IF(E84&gt;B84,E84-B84,E84+30-B84)</f>
        <v>1</v>
      </c>
      <c r="I84" s="381">
        <f>IF(E84&gt;B84,F84,F84-1)</f>
        <v>1</v>
      </c>
      <c r="J84" s="381">
        <f>IF(I84&gt;C84,G84,G84-1)</f>
        <v>1388</v>
      </c>
      <c r="K84" s="380">
        <f>H84</f>
        <v>1</v>
      </c>
      <c r="L84" s="380">
        <f>IF(I84&gt;C84,I84-C84,I84+12-C84)</f>
        <v>1</v>
      </c>
      <c r="M84" s="380">
        <f>J84-D84</f>
        <v>1388</v>
      </c>
      <c r="N84" s="380">
        <f>IF(K84&gt;29,0,K84)</f>
        <v>1</v>
      </c>
      <c r="O84" s="380">
        <f>IF(K84&gt;29,L84+1,L84)</f>
        <v>1</v>
      </c>
      <c r="P84" s="380">
        <f>IF(O84&gt;11,M84+1,M84)</f>
        <v>1388</v>
      </c>
      <c r="Q84" s="382">
        <f>N84</f>
        <v>1</v>
      </c>
      <c r="R84" s="382">
        <f>IF(O84&gt;11,O84-12,O84)</f>
        <v>1</v>
      </c>
      <c r="S84" s="383">
        <f>P84</f>
        <v>1388</v>
      </c>
      <c r="T84" s="977" t="s">
        <v>443</v>
      </c>
      <c r="U84" s="978"/>
      <c r="V84" s="384"/>
      <c r="W84" s="376"/>
      <c r="X84" s="376"/>
      <c r="Y84" s="376"/>
      <c r="Z84" s="376"/>
      <c r="AA84" s="376"/>
      <c r="AB84" s="376"/>
      <c r="AC84" s="376"/>
      <c r="AD84" s="376"/>
      <c r="AE84" s="377"/>
    </row>
    <row r="85" spans="1:31" ht="15" thickBot="1">
      <c r="A85" s="375"/>
      <c r="B85" s="376"/>
      <c r="C85" s="376"/>
      <c r="D85" s="376"/>
      <c r="E85" s="376"/>
      <c r="F85" s="376"/>
      <c r="G85" s="376"/>
      <c r="H85" s="376"/>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7"/>
    </row>
    <row r="86" spans="1:31" ht="18.75" thickBot="1">
      <c r="A86" s="375"/>
      <c r="B86" s="378">
        <v>1</v>
      </c>
      <c r="C86" s="379">
        <v>1</v>
      </c>
      <c r="D86" s="379">
        <v>1388</v>
      </c>
      <c r="E86" s="379">
        <f>H80</f>
        <v>1</v>
      </c>
      <c r="F86" s="379">
        <f>I80</f>
        <v>12</v>
      </c>
      <c r="G86" s="379">
        <f>J80</f>
        <v>1398</v>
      </c>
      <c r="H86" s="380">
        <f>IF(E86&gt;B86,E86-B86,E86+30-B86)</f>
        <v>30</v>
      </c>
      <c r="I86" s="381">
        <f>IF(E86&gt;B86,F86,F86-1)</f>
        <v>11</v>
      </c>
      <c r="J86" s="381">
        <f>IF(I86&gt;C86,G86,G86-1)</f>
        <v>1398</v>
      </c>
      <c r="K86" s="380">
        <f>H86</f>
        <v>30</v>
      </c>
      <c r="L86" s="380">
        <f>IF(I86&gt;C86,I86-C86,I86+12-C86)</f>
        <v>10</v>
      </c>
      <c r="M86" s="380">
        <f>J86-D86</f>
        <v>10</v>
      </c>
      <c r="N86" s="380">
        <f>IF(K86&gt;29,0,K86)</f>
        <v>0</v>
      </c>
      <c r="O86" s="380">
        <f>IF(K86&gt;29,L86+1,L86)</f>
        <v>11</v>
      </c>
      <c r="P86" s="380">
        <f>IF(O86&gt;11,M86+1,M86)</f>
        <v>10</v>
      </c>
      <c r="Q86" s="382">
        <f>N86</f>
        <v>0</v>
      </c>
      <c r="R86" s="382">
        <f>IF(O86&gt;11,O86-12,O86)</f>
        <v>11</v>
      </c>
      <c r="S86" s="383">
        <f>P86</f>
        <v>10</v>
      </c>
      <c r="T86" s="977" t="s">
        <v>443</v>
      </c>
      <c r="U86" s="978"/>
      <c r="V86" s="384"/>
      <c r="W86" s="376"/>
      <c r="X86" s="376"/>
      <c r="Y86" s="376"/>
      <c r="Z86" s="376"/>
      <c r="AA86" s="376"/>
      <c r="AB86" s="376"/>
      <c r="AC86" s="376"/>
      <c r="AD86" s="376"/>
      <c r="AE86" s="377"/>
    </row>
    <row r="87" spans="1:31" ht="15.75" thickBot="1">
      <c r="A87" s="375"/>
      <c r="B87" s="376"/>
      <c r="C87" s="376"/>
      <c r="D87" s="376"/>
      <c r="E87" s="376"/>
      <c r="F87" s="376"/>
      <c r="G87" s="376"/>
      <c r="H87" s="376"/>
      <c r="I87" s="376"/>
      <c r="J87" s="376"/>
      <c r="K87" s="376"/>
      <c r="L87" s="376"/>
      <c r="M87" s="376"/>
      <c r="N87" s="376"/>
      <c r="O87" s="376"/>
      <c r="P87" s="376"/>
      <c r="Q87" s="376"/>
      <c r="R87" s="376"/>
      <c r="S87" s="376"/>
      <c r="T87" s="376"/>
      <c r="U87" s="376"/>
      <c r="V87" s="376"/>
      <c r="W87" s="385"/>
      <c r="X87" s="385"/>
      <c r="Y87" s="386"/>
      <c r="Z87" s="376"/>
      <c r="AA87" s="376"/>
      <c r="AB87" s="376"/>
      <c r="AC87" s="376"/>
      <c r="AD87" s="376"/>
      <c r="AE87" s="377"/>
    </row>
    <row r="88" spans="1:31" ht="18.75" thickBot="1">
      <c r="A88" s="375"/>
      <c r="B88" s="378">
        <f>C80</f>
        <v>0</v>
      </c>
      <c r="C88" s="379">
        <f>D80</f>
        <v>0</v>
      </c>
      <c r="D88" s="379">
        <f>E80</f>
        <v>0</v>
      </c>
      <c r="E88" s="379">
        <f>H80</f>
        <v>1</v>
      </c>
      <c r="F88" s="379">
        <f>I80</f>
        <v>12</v>
      </c>
      <c r="G88" s="379">
        <f>J80</f>
        <v>1398</v>
      </c>
      <c r="H88" s="380">
        <f>IF(E88&gt;B88,E88-B88,E88+30-B88)</f>
        <v>1</v>
      </c>
      <c r="I88" s="381">
        <f>IF(E88&gt;B88,F88,F88-1)</f>
        <v>12</v>
      </c>
      <c r="J88" s="381">
        <f>IF(I88&gt;C88,G88,G88-1)</f>
        <v>1398</v>
      </c>
      <c r="K88" s="380">
        <f>H88</f>
        <v>1</v>
      </c>
      <c r="L88" s="380">
        <f>IF(I88&gt;C88,I88-C88,I88+12-C88)</f>
        <v>12</v>
      </c>
      <c r="M88" s="380">
        <f>J88-D88</f>
        <v>1398</v>
      </c>
      <c r="N88" s="380">
        <f>IF(K88&gt;29,0,K88)</f>
        <v>1</v>
      </c>
      <c r="O88" s="380">
        <f>IF(K88&gt;29,L88+1,L88)</f>
        <v>12</v>
      </c>
      <c r="P88" s="380">
        <f>IF(O88&gt;11,M88+1,M88)</f>
        <v>1399</v>
      </c>
      <c r="Q88" s="382">
        <f>N88</f>
        <v>1</v>
      </c>
      <c r="R88" s="382">
        <f>IF(O88&gt;11,O88-12,O88)</f>
        <v>0</v>
      </c>
      <c r="S88" s="383">
        <f>P88</f>
        <v>1399</v>
      </c>
      <c r="T88" s="977" t="s">
        <v>443</v>
      </c>
      <c r="U88" s="978"/>
      <c r="V88" s="376"/>
      <c r="W88" s="385"/>
      <c r="X88" s="385"/>
      <c r="Y88" s="386"/>
      <c r="Z88" s="376"/>
      <c r="AA88" s="376"/>
      <c r="AB88" s="376"/>
      <c r="AC88" s="376"/>
      <c r="AD88" s="376"/>
      <c r="AE88" s="377"/>
    </row>
    <row r="89" spans="1:31" ht="15" thickBot="1">
      <c r="A89" s="375"/>
      <c r="B89" s="376"/>
      <c r="C89" s="376"/>
      <c r="D89" s="376"/>
      <c r="E89" s="376"/>
      <c r="F89" s="376"/>
      <c r="G89" s="376"/>
      <c r="H89" s="37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7"/>
    </row>
    <row r="90" spans="1:31" ht="16.5" thickBot="1">
      <c r="A90" s="375"/>
      <c r="B90" s="966" t="s">
        <v>444</v>
      </c>
      <c r="C90" s="966"/>
      <c r="D90" s="387">
        <f>IF(AND(E80&lt;1388,J80&lt;1388),1,0)</f>
        <v>0</v>
      </c>
      <c r="E90" s="376"/>
      <c r="F90" s="387">
        <f>Q88</f>
        <v>1</v>
      </c>
      <c r="G90" s="387">
        <f>R88</f>
        <v>0</v>
      </c>
      <c r="H90" s="387">
        <f>S88</f>
        <v>1399</v>
      </c>
      <c r="I90" s="376"/>
      <c r="J90" s="388">
        <f>F90*D90</f>
        <v>0</v>
      </c>
      <c r="K90" s="389">
        <f>G90*D90</f>
        <v>0</v>
      </c>
      <c r="L90" s="390">
        <f>H90*D90</f>
        <v>0</v>
      </c>
      <c r="M90" s="376"/>
      <c r="N90" s="376"/>
      <c r="O90" s="376"/>
      <c r="P90" s="376"/>
      <c r="Q90" s="376"/>
      <c r="R90" s="376"/>
      <c r="S90" s="376"/>
      <c r="T90" s="376"/>
      <c r="U90" s="376"/>
      <c r="V90" s="376"/>
      <c r="W90" s="376"/>
      <c r="X90" s="376"/>
      <c r="Y90" s="376"/>
      <c r="Z90" s="376"/>
      <c r="AA90" s="376"/>
      <c r="AB90" s="376"/>
      <c r="AC90" s="376"/>
      <c r="AD90" s="376"/>
      <c r="AE90" s="377"/>
    </row>
    <row r="91" spans="1:31" ht="21.75" thickBot="1">
      <c r="A91" s="375"/>
      <c r="B91" s="966" t="s">
        <v>445</v>
      </c>
      <c r="C91" s="966"/>
      <c r="D91" s="387">
        <f>IF(AND(E80&gt;1387,J80&gt;1387),1,0)</f>
        <v>0</v>
      </c>
      <c r="E91" s="376"/>
      <c r="F91" s="387">
        <f>T97</f>
        <v>2</v>
      </c>
      <c r="G91" s="387">
        <f>U97</f>
        <v>0</v>
      </c>
      <c r="H91" s="387">
        <f>V97</f>
        <v>2798</v>
      </c>
      <c r="I91" s="376"/>
      <c r="J91" s="388">
        <f t="shared" ref="J91:J92" si="0">F91*D91</f>
        <v>0</v>
      </c>
      <c r="K91" s="389">
        <f t="shared" ref="K91:K92" si="1">G91*D91</f>
        <v>0</v>
      </c>
      <c r="L91" s="390">
        <f t="shared" ref="L91:L92" si="2">H91*D91</f>
        <v>0</v>
      </c>
      <c r="M91" s="376"/>
      <c r="N91" s="376"/>
      <c r="O91" s="376"/>
      <c r="P91" s="376"/>
      <c r="Q91" s="376"/>
      <c r="R91" s="376"/>
      <c r="S91" s="376"/>
      <c r="T91" s="376"/>
      <c r="U91" s="376"/>
      <c r="V91" s="376"/>
      <c r="W91" s="505" t="s">
        <v>460</v>
      </c>
      <c r="X91" s="505" t="s">
        <v>116</v>
      </c>
      <c r="Y91" s="505" t="s">
        <v>115</v>
      </c>
      <c r="Z91" s="376"/>
      <c r="AA91" s="376"/>
      <c r="AB91" s="376"/>
      <c r="AC91" s="376"/>
      <c r="AD91" s="376"/>
      <c r="AE91" s="377"/>
    </row>
    <row r="92" spans="1:31" ht="16.5" thickBot="1">
      <c r="A92" s="375"/>
      <c r="B92" s="966" t="s">
        <v>446</v>
      </c>
      <c r="C92" s="966"/>
      <c r="D92" s="387">
        <f>IF(AND(E80&lt;1388,J80&gt;1387),1,0)</f>
        <v>1</v>
      </c>
      <c r="E92" s="376"/>
      <c r="F92" s="387">
        <f>Z95</f>
        <v>1</v>
      </c>
      <c r="G92" s="387">
        <f>AA95</f>
        <v>11</v>
      </c>
      <c r="H92" s="387">
        <f>AB95</f>
        <v>1409</v>
      </c>
      <c r="I92" s="376"/>
      <c r="J92" s="388">
        <f t="shared" si="0"/>
        <v>1</v>
      </c>
      <c r="K92" s="389">
        <f t="shared" si="1"/>
        <v>11</v>
      </c>
      <c r="L92" s="390">
        <f t="shared" si="2"/>
        <v>1409</v>
      </c>
      <c r="M92" s="376"/>
      <c r="N92" s="376"/>
      <c r="O92" s="376"/>
      <c r="P92" s="376"/>
      <c r="Q92" s="376"/>
      <c r="R92" s="376"/>
      <c r="S92" s="376"/>
      <c r="T92" s="376"/>
      <c r="U92" s="376"/>
      <c r="V92" s="376"/>
      <c r="W92" s="519">
        <f>IF('کاربرگ ورود اطلاعات'!F23="مناطق محروم",J93,Q82)</f>
        <v>1</v>
      </c>
      <c r="X92" s="519">
        <f>IF('کاربرگ ورود اطلاعات'!F23="مناطق محروم",K93,R82)</f>
        <v>0</v>
      </c>
      <c r="Y92" s="519">
        <f>IF('کاربرگ ورود اطلاعات'!F23="مناطق محروم",L93,S82)</f>
        <v>1399</v>
      </c>
      <c r="Z92" s="376"/>
      <c r="AA92" s="376"/>
      <c r="AB92" s="376"/>
      <c r="AC92" s="376"/>
      <c r="AD92" s="376"/>
      <c r="AE92" s="377"/>
    </row>
    <row r="93" spans="1:31" ht="16.5" thickBot="1">
      <c r="A93" s="375"/>
      <c r="B93" s="391"/>
      <c r="C93" s="391"/>
      <c r="D93" s="386"/>
      <c r="E93" s="376"/>
      <c r="F93" s="386"/>
      <c r="G93" s="386"/>
      <c r="H93" s="386"/>
      <c r="I93" s="376"/>
      <c r="J93" s="392">
        <f>SUM(J90:J92)</f>
        <v>1</v>
      </c>
      <c r="K93" s="393">
        <f>SUM(K90:K92)</f>
        <v>11</v>
      </c>
      <c r="L93" s="394">
        <f>SUM(L90:L92)</f>
        <v>1409</v>
      </c>
      <c r="M93" s="977" t="s">
        <v>449</v>
      </c>
      <c r="N93" s="978"/>
      <c r="O93" s="978"/>
      <c r="P93" s="376"/>
      <c r="Q93" s="376"/>
      <c r="R93" s="376"/>
      <c r="S93" s="376"/>
      <c r="T93" s="376"/>
      <c r="U93" s="376"/>
      <c r="V93" s="376"/>
      <c r="W93" s="376"/>
      <c r="X93" s="376"/>
      <c r="Y93" s="376"/>
      <c r="Z93" s="376"/>
      <c r="AA93" s="376"/>
      <c r="AB93" s="376"/>
      <c r="AC93" s="376"/>
      <c r="AD93" s="376"/>
      <c r="AE93" s="377"/>
    </row>
    <row r="94" spans="1:31" ht="15" thickBot="1">
      <c r="A94" s="375"/>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7"/>
    </row>
    <row r="95" spans="1:31" ht="21.75" thickBot="1">
      <c r="A95" s="375"/>
      <c r="B95" s="395">
        <f>Q84</f>
        <v>1</v>
      </c>
      <c r="C95" s="396">
        <f>R84</f>
        <v>1</v>
      </c>
      <c r="D95" s="396">
        <f>S84</f>
        <v>1388</v>
      </c>
      <c r="E95" s="397">
        <f>T100</f>
        <v>0</v>
      </c>
      <c r="F95" s="397">
        <f>U100</f>
        <v>10</v>
      </c>
      <c r="G95" s="397">
        <f>V100</f>
        <v>21</v>
      </c>
      <c r="H95" s="398">
        <f>B95+E95</f>
        <v>1</v>
      </c>
      <c r="I95" s="398">
        <f>F95+C95</f>
        <v>11</v>
      </c>
      <c r="J95" s="398">
        <f>G95+D95</f>
        <v>1409</v>
      </c>
      <c r="K95" s="399">
        <v>1</v>
      </c>
      <c r="L95" s="398">
        <f>INT(R95/T95)</f>
        <v>1</v>
      </c>
      <c r="M95" s="398">
        <f>INT(P95/T95)</f>
        <v>11</v>
      </c>
      <c r="N95" s="398">
        <f>INT(J95/T95)</f>
        <v>1409</v>
      </c>
      <c r="O95" s="400">
        <f>J95-(T95*N95)</f>
        <v>0</v>
      </c>
      <c r="P95" s="400">
        <f>(O95*12)+I95</f>
        <v>11</v>
      </c>
      <c r="Q95" s="400">
        <f>P95-(T95*M95)</f>
        <v>0</v>
      </c>
      <c r="R95" s="400">
        <f>(Q95*30)+H95</f>
        <v>1</v>
      </c>
      <c r="S95" s="400">
        <v>1</v>
      </c>
      <c r="T95" s="400">
        <f>S95/K95</f>
        <v>1</v>
      </c>
      <c r="U95" s="401">
        <f>IF(L95&lt;30,L95,L95-(X95*30))</f>
        <v>1</v>
      </c>
      <c r="V95" s="401">
        <f>IF((M95+X95)&gt;11,(M95+X95)-(Y95*12),(M95+X95))</f>
        <v>11</v>
      </c>
      <c r="W95" s="401">
        <f>N95+Y95</f>
        <v>1409</v>
      </c>
      <c r="X95" s="400">
        <f>INT(L95/30)</f>
        <v>0</v>
      </c>
      <c r="Y95" s="402">
        <f>INT((X95+M95)/12)</f>
        <v>0</v>
      </c>
      <c r="Z95" s="403">
        <f>U95</f>
        <v>1</v>
      </c>
      <c r="AA95" s="404">
        <f>IF(V95&gt;11,V95-12,V95)</f>
        <v>11</v>
      </c>
      <c r="AB95" s="405">
        <f>AC95+W95</f>
        <v>1409</v>
      </c>
      <c r="AC95" s="406">
        <f>INT(V95/12)</f>
        <v>0</v>
      </c>
      <c r="AD95" s="407" t="s">
        <v>447</v>
      </c>
      <c r="AE95" s="377"/>
    </row>
    <row r="96" spans="1:31" ht="15" thickBot="1">
      <c r="A96" s="375"/>
      <c r="B96" s="376"/>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7"/>
    </row>
    <row r="97" spans="1:31" ht="24.75" thickBot="1">
      <c r="A97" s="375"/>
      <c r="B97" s="408">
        <f>Q88</f>
        <v>1</v>
      </c>
      <c r="C97" s="408">
        <f>R88</f>
        <v>0</v>
      </c>
      <c r="D97" s="408">
        <f>S88</f>
        <v>1399</v>
      </c>
      <c r="E97" s="409">
        <v>2</v>
      </c>
      <c r="F97" s="408">
        <f>INT(L97/N97)</f>
        <v>2</v>
      </c>
      <c r="G97" s="408">
        <f>INT(J97/N97)</f>
        <v>0</v>
      </c>
      <c r="H97" s="408">
        <f>INT(D97/N97)</f>
        <v>2798</v>
      </c>
      <c r="I97" s="397">
        <f>D97-(N97*H97)</f>
        <v>0</v>
      </c>
      <c r="J97" s="397">
        <f>(I97*12)+C97</f>
        <v>0</v>
      </c>
      <c r="K97" s="397">
        <f>J97-(N97*G97)</f>
        <v>0</v>
      </c>
      <c r="L97" s="397">
        <f>(K97*30)+B97</f>
        <v>1</v>
      </c>
      <c r="M97" s="397">
        <v>1</v>
      </c>
      <c r="N97" s="397">
        <f>M97/E97</f>
        <v>0.5</v>
      </c>
      <c r="O97" s="410">
        <f>IF(F97&lt;30,F97,F97-(R97*30))</f>
        <v>2</v>
      </c>
      <c r="P97" s="410">
        <f>IF((G97+R97)&gt;11,(G97+R97)-(S97*12),(G97+R97))</f>
        <v>0</v>
      </c>
      <c r="Q97" s="410">
        <f>H97+S97</f>
        <v>2798</v>
      </c>
      <c r="R97" s="397">
        <f>INT(F97/30)</f>
        <v>0</v>
      </c>
      <c r="S97" s="411">
        <f>INT((R97+G97)/12)</f>
        <v>0</v>
      </c>
      <c r="T97" s="412">
        <f>O97</f>
        <v>2</v>
      </c>
      <c r="U97" s="413">
        <f>IF(P97&gt;11,P97-12,P97)</f>
        <v>0</v>
      </c>
      <c r="V97" s="414">
        <f>W97+Q97</f>
        <v>2798</v>
      </c>
      <c r="W97" s="415">
        <f>INT(P97/12)</f>
        <v>0</v>
      </c>
      <c r="X97" s="376"/>
      <c r="Y97" s="376"/>
      <c r="Z97" s="376"/>
      <c r="AA97" s="376"/>
      <c r="AB97" s="376"/>
      <c r="AC97" s="376"/>
      <c r="AD97" s="376"/>
      <c r="AE97" s="377"/>
    </row>
    <row r="98" spans="1:31">
      <c r="A98" s="375"/>
      <c r="B98" s="376"/>
      <c r="C98" s="376"/>
      <c r="D98" s="376"/>
      <c r="E98" s="376"/>
      <c r="F98" s="376"/>
      <c r="G98" s="376"/>
      <c r="H98" s="376"/>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7"/>
    </row>
    <row r="99" spans="1:31" ht="15" thickBot="1">
      <c r="A99" s="375"/>
      <c r="B99" s="376"/>
      <c r="C99" s="376"/>
      <c r="D99" s="376"/>
      <c r="E99" s="376"/>
      <c r="F99" s="376"/>
      <c r="G99" s="376"/>
      <c r="H99" s="376"/>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7"/>
    </row>
    <row r="100" spans="1:31" ht="24.75" thickBot="1">
      <c r="A100" s="375"/>
      <c r="B100" s="408">
        <f>Q86</f>
        <v>0</v>
      </c>
      <c r="C100" s="408">
        <f>R86</f>
        <v>11</v>
      </c>
      <c r="D100" s="408">
        <f>S86</f>
        <v>10</v>
      </c>
      <c r="E100" s="409">
        <v>2</v>
      </c>
      <c r="F100" s="408">
        <f>INT(L100/N100)</f>
        <v>0</v>
      </c>
      <c r="G100" s="408">
        <f>INT(J100/N100)</f>
        <v>22</v>
      </c>
      <c r="H100" s="408">
        <f>INT(D100/N100)</f>
        <v>20</v>
      </c>
      <c r="I100" s="397">
        <f>D100-(N100*H100)</f>
        <v>0</v>
      </c>
      <c r="J100" s="397">
        <f>(I100*12)+C100</f>
        <v>11</v>
      </c>
      <c r="K100" s="397">
        <f>J100-(N100*G100)</f>
        <v>0</v>
      </c>
      <c r="L100" s="397">
        <f>(K100*30)+B100</f>
        <v>0</v>
      </c>
      <c r="M100" s="397">
        <v>1</v>
      </c>
      <c r="N100" s="397">
        <f>M100/E100</f>
        <v>0.5</v>
      </c>
      <c r="O100" s="410">
        <f>IF(F100&lt;30,F100,F100-(R100*30))</f>
        <v>0</v>
      </c>
      <c r="P100" s="410">
        <f>IF((G100+R100)&gt;11,(G100+R100)-(S100*12),(G100+R100))</f>
        <v>10</v>
      </c>
      <c r="Q100" s="410">
        <f>H100+S100</f>
        <v>21</v>
      </c>
      <c r="R100" s="397">
        <f>INT(F100/30)</f>
        <v>0</v>
      </c>
      <c r="S100" s="411">
        <f>INT((R100+G100)/12)</f>
        <v>1</v>
      </c>
      <c r="T100" s="412">
        <f>O100</f>
        <v>0</v>
      </c>
      <c r="U100" s="413">
        <f>IF(P100&gt;11,P100-12,P100)</f>
        <v>10</v>
      </c>
      <c r="V100" s="414">
        <f>W100+Q100</f>
        <v>21</v>
      </c>
      <c r="W100" s="415">
        <f>INT(P100/12)</f>
        <v>0</v>
      </c>
      <c r="X100" s="376"/>
      <c r="Y100" s="376"/>
      <c r="Z100" s="376"/>
      <c r="AA100" s="376"/>
      <c r="AB100" s="376"/>
      <c r="AC100" s="376"/>
      <c r="AD100" s="376"/>
      <c r="AE100" s="377"/>
    </row>
    <row r="101" spans="1:31" ht="15" thickBot="1">
      <c r="A101" s="416"/>
      <c r="B101" s="417"/>
      <c r="C101" s="417"/>
      <c r="D101" s="417"/>
      <c r="E101" s="417"/>
      <c r="F101" s="417"/>
      <c r="G101" s="417"/>
      <c r="H101" s="417"/>
      <c r="I101" s="417"/>
      <c r="J101" s="417"/>
      <c r="K101" s="417"/>
      <c r="L101" s="417"/>
      <c r="M101" s="417"/>
      <c r="N101" s="417"/>
      <c r="O101" s="417"/>
      <c r="P101" s="417"/>
      <c r="Q101" s="417"/>
      <c r="R101" s="417"/>
      <c r="S101" s="417"/>
      <c r="T101" s="417"/>
      <c r="U101" s="417"/>
      <c r="V101" s="417"/>
      <c r="W101" s="417"/>
      <c r="X101" s="417"/>
      <c r="Y101" s="417"/>
      <c r="Z101" s="417"/>
      <c r="AA101" s="417"/>
      <c r="AB101" s="417"/>
      <c r="AC101" s="417"/>
      <c r="AD101" s="417"/>
      <c r="AE101" s="418"/>
    </row>
    <row r="102" spans="1:31" s="423" customFormat="1"/>
    <row r="105" spans="1:31">
      <c r="E105" t="b">
        <f>OR('کاربرگ ورود اطلاعات'!I8="فوق لیسانس",'کاربرگ ورود اطلاعات'!I8="دکتری")</f>
        <v>0</v>
      </c>
    </row>
    <row r="106" spans="1:31">
      <c r="E106" s="475" t="s">
        <v>484</v>
      </c>
      <c r="F106" s="475" t="s">
        <v>485</v>
      </c>
      <c r="G106" s="510">
        <v>0</v>
      </c>
      <c r="H106" s="424"/>
      <c r="I106" s="424"/>
      <c r="J106" s="424"/>
      <c r="K106" s="475" t="s">
        <v>486</v>
      </c>
      <c r="L106" s="475" t="s">
        <v>487</v>
      </c>
      <c r="M106" s="510">
        <v>0</v>
      </c>
    </row>
    <row r="107" spans="1:31">
      <c r="E107" s="475">
        <v>7</v>
      </c>
      <c r="F107" s="475">
        <v>5</v>
      </c>
      <c r="G107" s="510">
        <f>IF(OR('کاربرگ ورود اطلاعات'!I8="فوق لیسانس",'کاربرگ ورود اطلاعات'!I8="دکتری"),E107,F107)</f>
        <v>5</v>
      </c>
      <c r="H107" s="424"/>
      <c r="I107" s="424"/>
      <c r="J107" s="424"/>
      <c r="K107" s="475">
        <v>6</v>
      </c>
      <c r="L107" s="475">
        <v>5</v>
      </c>
      <c r="M107" s="510">
        <f>IF(OR('کاربرگ ورود اطلاعات'!I8="فوق لیسانس",'کاربرگ ورود اطلاعات'!I8="دکتری"),K107,L107)</f>
        <v>5</v>
      </c>
    </row>
    <row r="108" spans="1:31">
      <c r="E108" s="475">
        <v>9</v>
      </c>
      <c r="F108" s="475">
        <v>6</v>
      </c>
      <c r="G108" s="510">
        <f>IF(OR('کاربرگ ورود اطلاعات'!I8="فوق لیسانس",'کاربرگ ورود اطلاعات'!I8="دکتری"),E108,F108)</f>
        <v>6</v>
      </c>
      <c r="H108" s="424"/>
      <c r="I108" s="424"/>
      <c r="J108" s="424"/>
      <c r="K108" s="475">
        <v>7</v>
      </c>
      <c r="L108" s="475">
        <v>6</v>
      </c>
      <c r="M108" s="510">
        <f>IF(OR('کاربرگ ورود اطلاعات'!I8="فوق لیسانس",'کاربرگ ورود اطلاعات'!I8="دکتری"),K108,L108)</f>
        <v>6</v>
      </c>
    </row>
    <row r="109" spans="1:31">
      <c r="E109" s="475">
        <v>11</v>
      </c>
      <c r="F109" s="475">
        <v>8</v>
      </c>
      <c r="G109" s="510">
        <f>IF(OR('کاربرگ ورود اطلاعات'!I8="فوق لیسانس",'کاربرگ ورود اطلاعات'!I8="دکتری"),E109,F109)</f>
        <v>8</v>
      </c>
      <c r="H109" s="424"/>
      <c r="I109" s="424"/>
      <c r="J109" s="424"/>
      <c r="K109" s="475">
        <v>8</v>
      </c>
      <c r="L109" s="475">
        <v>7</v>
      </c>
      <c r="M109" s="510">
        <f>IF(OR('کاربرگ ورود اطلاعات'!I8="فوق لیسانس",'کاربرگ ورود اطلاعات'!I8="دکتری"),K109,L109)</f>
        <v>7</v>
      </c>
    </row>
    <row r="110" spans="1:31">
      <c r="E110" s="475">
        <v>13</v>
      </c>
      <c r="F110" s="475">
        <v>10</v>
      </c>
      <c r="G110" s="510">
        <f>IF(OR('کاربرگ ورود اطلاعات'!I8="فوق لیسانس",'کاربرگ ورود اطلاعات'!I8="دکتری"),E110,F110)</f>
        <v>10</v>
      </c>
      <c r="H110" s="424"/>
      <c r="I110" s="424"/>
      <c r="J110" s="424"/>
      <c r="K110" s="475">
        <v>10</v>
      </c>
      <c r="L110" s="475">
        <v>8</v>
      </c>
      <c r="M110" s="510">
        <f>IF(OR('کاربرگ ورود اطلاعات'!I8="فوق لیسانس",'کاربرگ ورود اطلاعات'!I8="دکتری"),K110,L110)</f>
        <v>8</v>
      </c>
    </row>
    <row r="111" spans="1:31">
      <c r="E111" s="475">
        <v>15</v>
      </c>
      <c r="F111" s="475">
        <v>12</v>
      </c>
      <c r="G111" s="510">
        <f>IF(OR('کاربرگ ورود اطلاعات'!I8="فوق لیسانس",'کاربرگ ورود اطلاعات'!I8="دکتری"),E111,F111)</f>
        <v>12</v>
      </c>
      <c r="H111" s="424"/>
      <c r="I111" s="424"/>
      <c r="J111" s="424"/>
      <c r="K111" s="475"/>
      <c r="L111" s="475"/>
      <c r="M111" s="510"/>
    </row>
    <row r="113" spans="3:19" ht="15">
      <c r="F113" s="511" t="s">
        <v>488</v>
      </c>
      <c r="G113" s="511">
        <f>IF('کاربرگ ورود اطلاعات'!F21="بلی",G111,'کاربرگ ورود اطلاعات'!I19)</f>
        <v>0</v>
      </c>
      <c r="L113" s="511" t="s">
        <v>488</v>
      </c>
      <c r="M113" s="511">
        <f>IF('کاربرگ ورود اطلاعات'!F21="بلی",M110,'کاربرگ ورود اطلاعات'!I20)</f>
        <v>0</v>
      </c>
    </row>
    <row r="115" spans="3:19" s="520" customFormat="1"/>
    <row r="119" spans="3:19" ht="18">
      <c r="C119" s="522" t="s">
        <v>489</v>
      </c>
      <c r="D119" s="522" t="s">
        <v>501</v>
      </c>
      <c r="E119" s="522" t="s">
        <v>502</v>
      </c>
      <c r="F119" s="522" t="s">
        <v>503</v>
      </c>
      <c r="G119" s="522" t="s">
        <v>1</v>
      </c>
      <c r="H119" s="522"/>
      <c r="I119" s="522"/>
      <c r="Q119" s="521">
        <v>0</v>
      </c>
      <c r="R119" s="521">
        <v>0</v>
      </c>
      <c r="S119" s="521">
        <v>0</v>
      </c>
    </row>
    <row r="120" spans="3:19" ht="18">
      <c r="C120" s="521">
        <v>1</v>
      </c>
      <c r="D120" s="521" t="s">
        <v>490</v>
      </c>
      <c r="E120" s="521" t="s">
        <v>493</v>
      </c>
      <c r="F120" s="521" t="s">
        <v>496</v>
      </c>
      <c r="G120" s="521">
        <v>510</v>
      </c>
      <c r="H120" s="521" t="b">
        <f>AND('کاربرگ ورود اطلاعات'!F13=D120,'کاربرگ ورود اطلاعات'!F14=E120,'کاربرگ ورود اطلاعات'!F15=F120)</f>
        <v>0</v>
      </c>
      <c r="I120" s="521">
        <f>IF(AND('کاربرگ ورود اطلاعات'!F13=D120,'کاربرگ ورود اطلاعات'!F14=E120,'کاربرگ ورود اطلاعات'!F15=F120),G120,0)</f>
        <v>0</v>
      </c>
      <c r="Q120" s="521" t="s">
        <v>490</v>
      </c>
      <c r="R120" s="521" t="s">
        <v>493</v>
      </c>
      <c r="S120" s="521" t="s">
        <v>496</v>
      </c>
    </row>
    <row r="121" spans="3:19" ht="18">
      <c r="C121" s="521">
        <v>2</v>
      </c>
      <c r="D121" s="521" t="s">
        <v>490</v>
      </c>
      <c r="E121" s="521" t="s">
        <v>493</v>
      </c>
      <c r="F121" s="521" t="s">
        <v>497</v>
      </c>
      <c r="G121" s="521">
        <v>950</v>
      </c>
      <c r="H121" s="521" t="b">
        <f>AND('کاربرگ ورود اطلاعات'!F13=D121,'کاربرگ ورود اطلاعات'!F14=E121,'کاربرگ ورود اطلاعات'!F15=F121)</f>
        <v>0</v>
      </c>
      <c r="I121" s="521">
        <f>IF(AND('کاربرگ ورود اطلاعات'!F13=D121,'کاربرگ ورود اطلاعات'!F14=E121,'کاربرگ ورود اطلاعات'!F15=F121),G121,0)</f>
        <v>0</v>
      </c>
      <c r="Q121" s="521" t="s">
        <v>491</v>
      </c>
      <c r="R121" s="521" t="s">
        <v>494</v>
      </c>
      <c r="S121" s="521" t="s">
        <v>497</v>
      </c>
    </row>
    <row r="122" spans="3:19" ht="18">
      <c r="C122" s="521">
        <v>3</v>
      </c>
      <c r="D122" s="521" t="s">
        <v>490</v>
      </c>
      <c r="E122" s="521" t="s">
        <v>493</v>
      </c>
      <c r="F122" s="521" t="s">
        <v>499</v>
      </c>
      <c r="G122" s="521">
        <v>1400</v>
      </c>
      <c r="H122" s="521" t="b">
        <f>AND('کاربرگ ورود اطلاعات'!F13=D122,'کاربرگ ورود اطلاعات'!F14=E122,'کاربرگ ورود اطلاعات'!F15=F122)</f>
        <v>0</v>
      </c>
      <c r="I122" s="521">
        <f>IF(AND('کاربرگ ورود اطلاعات'!F13=D122,'کاربرگ ورود اطلاعات'!F14=E122,'کاربرگ ورود اطلاعات'!F15=F122),G122,0)</f>
        <v>0</v>
      </c>
      <c r="Q122" s="521" t="s">
        <v>492</v>
      </c>
      <c r="R122" s="521" t="s">
        <v>495</v>
      </c>
      <c r="S122" s="521" t="s">
        <v>499</v>
      </c>
    </row>
    <row r="123" spans="3:19" ht="18">
      <c r="C123" s="521">
        <v>4</v>
      </c>
      <c r="D123" s="521" t="s">
        <v>490</v>
      </c>
      <c r="E123" s="521" t="s">
        <v>493</v>
      </c>
      <c r="F123" s="521" t="s">
        <v>498</v>
      </c>
      <c r="G123" s="521">
        <v>1850</v>
      </c>
      <c r="H123" s="521" t="b">
        <f>AND('کاربرگ ورود اطلاعات'!F13=D123,'کاربرگ ورود اطلاعات'!F14=E123,'کاربرگ ورود اطلاعات'!F15=F123)</f>
        <v>0</v>
      </c>
      <c r="I123" s="521">
        <f>IF(AND('کاربرگ ورود اطلاعات'!F13=D123,'کاربرگ ورود اطلاعات'!F14=E123,'کاربرگ ورود اطلاعات'!F15=F123),G123,0)</f>
        <v>0</v>
      </c>
      <c r="S123" s="521" t="s">
        <v>498</v>
      </c>
    </row>
    <row r="124" spans="3:19" ht="18">
      <c r="C124" s="521">
        <v>5</v>
      </c>
      <c r="D124" s="521" t="s">
        <v>490</v>
      </c>
      <c r="E124" s="521" t="s">
        <v>493</v>
      </c>
      <c r="F124" s="521" t="s">
        <v>500</v>
      </c>
      <c r="G124" s="521">
        <v>2300</v>
      </c>
      <c r="H124" s="521" t="b">
        <f>AND('کاربرگ ورود اطلاعات'!F13=D124,'کاربرگ ورود اطلاعات'!F14=E124,'کاربرگ ورود اطلاعات'!F15=F124)</f>
        <v>0</v>
      </c>
      <c r="I124" s="521">
        <f>IF(AND('کاربرگ ورود اطلاعات'!F13=D124,'کاربرگ ورود اطلاعات'!F14=E124,'کاربرگ ورود اطلاعات'!F15=F124),G124,0)</f>
        <v>0</v>
      </c>
      <c r="S124" s="521" t="s">
        <v>500</v>
      </c>
    </row>
    <row r="125" spans="3:19" ht="18">
      <c r="C125" s="521">
        <v>6</v>
      </c>
      <c r="D125" s="521" t="s">
        <v>490</v>
      </c>
      <c r="E125" s="521" t="s">
        <v>494</v>
      </c>
      <c r="F125" s="521" t="s">
        <v>496</v>
      </c>
      <c r="G125" s="521">
        <v>550</v>
      </c>
      <c r="H125" s="521" t="b">
        <f>AND('کاربرگ ورود اطلاعات'!F13=D125,'کاربرگ ورود اطلاعات'!F14=E125,'کاربرگ ورود اطلاعات'!F15=F125)</f>
        <v>0</v>
      </c>
      <c r="I125" s="521">
        <f>IF(AND('کاربرگ ورود اطلاعات'!F13=D125,'کاربرگ ورود اطلاعات'!F14=E125,'کاربرگ ورود اطلاعات'!F15=F125),G125,0)</f>
        <v>0</v>
      </c>
    </row>
    <row r="126" spans="3:19" ht="18">
      <c r="C126" s="521">
        <v>7</v>
      </c>
      <c r="D126" s="521" t="s">
        <v>490</v>
      </c>
      <c r="E126" s="521" t="s">
        <v>494</v>
      </c>
      <c r="F126" s="521" t="s">
        <v>497</v>
      </c>
      <c r="G126" s="521">
        <v>1000</v>
      </c>
      <c r="H126" s="521" t="b">
        <f>AND(D126='کاربرگ ورود اطلاعات'!F13,E126='کاربرگ ورود اطلاعات'!F14,F126='کاربرگ ورود اطلاعات'!F15)</f>
        <v>0</v>
      </c>
      <c r="I126" s="521">
        <f>IF(AND(D126='کاربرگ ورود اطلاعات'!F13,E126='کاربرگ ورود اطلاعات'!F14,F126='کاربرگ ورود اطلاعات'!F15),G126,0)</f>
        <v>0</v>
      </c>
    </row>
    <row r="127" spans="3:19" ht="18">
      <c r="C127" s="521">
        <v>8</v>
      </c>
      <c r="D127" s="521" t="s">
        <v>490</v>
      </c>
      <c r="E127" s="521" t="s">
        <v>494</v>
      </c>
      <c r="F127" s="521" t="s">
        <v>499</v>
      </c>
      <c r="G127" s="521">
        <v>1450</v>
      </c>
      <c r="H127" s="521" t="b">
        <f>AND(D127='کاربرگ ورود اطلاعات'!F13,E127='کاربرگ ورود اطلاعات'!F14,F127='کاربرگ ورود اطلاعات'!F15)</f>
        <v>0</v>
      </c>
      <c r="I127" s="521">
        <f>IF(AND(D127='کاربرگ ورود اطلاعات'!F13,E127='کاربرگ ورود اطلاعات'!F14,F127='کاربرگ ورود اطلاعات'!F15),G127,0)</f>
        <v>0</v>
      </c>
    </row>
    <row r="128" spans="3:19" ht="18">
      <c r="C128" s="521">
        <v>9</v>
      </c>
      <c r="D128" s="521" t="s">
        <v>490</v>
      </c>
      <c r="E128" s="521" t="s">
        <v>494</v>
      </c>
      <c r="F128" s="521" t="s">
        <v>498</v>
      </c>
      <c r="G128" s="521">
        <v>1900</v>
      </c>
      <c r="H128" s="521" t="b">
        <f>AND(D128='کاربرگ ورود اطلاعات'!F13,E128='کاربرگ ورود اطلاعات'!F14,F128='کاربرگ ورود اطلاعات'!F15)</f>
        <v>0</v>
      </c>
      <c r="I128" s="521">
        <f>IF(AND(D128='کاربرگ ورود اطلاعات'!F13,E128='کاربرگ ورود اطلاعات'!F14,F128='کاربرگ ورود اطلاعات'!F15),G128,0)</f>
        <v>0</v>
      </c>
    </row>
    <row r="129" spans="3:9" ht="18">
      <c r="C129" s="521">
        <v>10</v>
      </c>
      <c r="D129" s="521" t="s">
        <v>490</v>
      </c>
      <c r="E129" s="521" t="s">
        <v>494</v>
      </c>
      <c r="F129" s="521" t="s">
        <v>500</v>
      </c>
      <c r="G129" s="521">
        <v>2350</v>
      </c>
      <c r="H129" s="521" t="b">
        <f>AND(D129='کاربرگ ورود اطلاعات'!F13,E129='کاربرگ ورود اطلاعات'!F14,F129='کاربرگ ورود اطلاعات'!F15)</f>
        <v>0</v>
      </c>
      <c r="I129" s="521">
        <f>IF(AND(D129='کاربرگ ورود اطلاعات'!F13,E129='کاربرگ ورود اطلاعات'!F14,F129='کاربرگ ورود اطلاعات'!F15),G129,0)</f>
        <v>0</v>
      </c>
    </row>
    <row r="130" spans="3:9" ht="18">
      <c r="C130" s="521">
        <v>11</v>
      </c>
      <c r="D130" s="521" t="s">
        <v>490</v>
      </c>
      <c r="E130" s="521" t="s">
        <v>495</v>
      </c>
      <c r="F130" s="521" t="s">
        <v>496</v>
      </c>
      <c r="G130" s="521">
        <v>600</v>
      </c>
      <c r="H130" s="521" t="b">
        <f>AND(D130='کاربرگ ورود اطلاعات'!F13,E130='کاربرگ ورود اطلاعات'!F14,F130='کاربرگ ورود اطلاعات'!F15)</f>
        <v>0</v>
      </c>
      <c r="I130" s="521">
        <f>IF(AND(D130='کاربرگ ورود اطلاعات'!F13,E130='کاربرگ ورود اطلاعات'!F14,F130='کاربرگ ورود اطلاعات'!F15),G130,0)</f>
        <v>0</v>
      </c>
    </row>
    <row r="131" spans="3:9" ht="18">
      <c r="C131" s="521">
        <v>12</v>
      </c>
      <c r="D131" s="521" t="s">
        <v>490</v>
      </c>
      <c r="E131" s="521" t="s">
        <v>495</v>
      </c>
      <c r="F131" s="521" t="s">
        <v>497</v>
      </c>
      <c r="G131" s="521">
        <v>1050</v>
      </c>
      <c r="H131" s="521" t="b">
        <f>AND('کاربرگ ورود اطلاعات'!F13=D131,'کاربرگ ورود اطلاعات'!F14=E131,'کاربرگ ورود اطلاعات'!F15=F131)</f>
        <v>0</v>
      </c>
      <c r="I131" s="521">
        <f>IF(AND('کاربرگ ورود اطلاعات'!F13=D131,'کاربرگ ورود اطلاعات'!F14=E131,'کاربرگ ورود اطلاعات'!F15=F131),G131,0)</f>
        <v>0</v>
      </c>
    </row>
    <row r="132" spans="3:9" ht="18">
      <c r="C132" s="521">
        <v>13</v>
      </c>
      <c r="D132" s="521" t="s">
        <v>490</v>
      </c>
      <c r="E132" s="521" t="s">
        <v>495</v>
      </c>
      <c r="F132" s="521" t="s">
        <v>499</v>
      </c>
      <c r="G132" s="521">
        <v>1500</v>
      </c>
      <c r="H132" s="521" t="b">
        <f>AND('کاربرگ ورود اطلاعات'!F13=D132,'کاربرگ ورود اطلاعات'!F14=E132,'کاربرگ ورود اطلاعات'!F15=F132)</f>
        <v>0</v>
      </c>
      <c r="I132" s="521">
        <f>IF(AND('کاربرگ ورود اطلاعات'!F13=D132,'کاربرگ ورود اطلاعات'!F14=E132,'کاربرگ ورود اطلاعات'!F15=F132),G132,0)</f>
        <v>0</v>
      </c>
    </row>
    <row r="133" spans="3:9" ht="18">
      <c r="C133" s="521">
        <v>14</v>
      </c>
      <c r="D133" s="521" t="s">
        <v>490</v>
      </c>
      <c r="E133" s="521" t="s">
        <v>495</v>
      </c>
      <c r="F133" s="521" t="s">
        <v>498</v>
      </c>
      <c r="G133" s="521">
        <v>1950</v>
      </c>
      <c r="H133" s="521" t="b">
        <f>AND('کاربرگ ورود اطلاعات'!F15=F133,'کاربرگ ورود اطلاعات'!F14=E133,'کاربرگ ورود اطلاعات'!F13=D133)</f>
        <v>0</v>
      </c>
      <c r="I133" s="521">
        <f>IF(AND('کاربرگ ورود اطلاعات'!F15=F133,'کاربرگ ورود اطلاعات'!F14=E133,'کاربرگ ورود اطلاعات'!F13=D133),G133,0)</f>
        <v>0</v>
      </c>
    </row>
    <row r="134" spans="3:9" ht="18">
      <c r="C134" s="521">
        <v>15</v>
      </c>
      <c r="D134" s="521" t="s">
        <v>490</v>
      </c>
      <c r="E134" s="521" t="s">
        <v>495</v>
      </c>
      <c r="F134" s="521" t="s">
        <v>500</v>
      </c>
      <c r="G134" s="521">
        <v>2400</v>
      </c>
      <c r="H134" s="521" t="b">
        <f>AND('کاربرگ ورود اطلاعات'!F15=F134,'کاربرگ ورود اطلاعات'!F14=E134,'کاربرگ ورود اطلاعات'!F13=D134)</f>
        <v>0</v>
      </c>
      <c r="I134" s="521">
        <f>IF(AND('کاربرگ ورود اطلاعات'!F15=F134,'کاربرگ ورود اطلاعات'!F14=E134,'کاربرگ ورود اطلاعات'!F13=D134),G134,0)</f>
        <v>0</v>
      </c>
    </row>
    <row r="135" spans="3:9" ht="18">
      <c r="C135" s="521">
        <v>16</v>
      </c>
      <c r="D135" s="521" t="s">
        <v>491</v>
      </c>
      <c r="E135" s="521" t="s">
        <v>493</v>
      </c>
      <c r="F135" s="521" t="s">
        <v>496</v>
      </c>
      <c r="G135" s="521">
        <v>650</v>
      </c>
      <c r="H135" s="521" t="b">
        <f>AND('کاربرگ ورود اطلاعات'!F15=F135,'کاربرگ ورود اطلاعات'!F14=E135,'کاربرگ ورود اطلاعات'!F13=D135)</f>
        <v>0</v>
      </c>
      <c r="I135" s="521">
        <f>IF(AND('کاربرگ ورود اطلاعات'!F15=F135,'کاربرگ ورود اطلاعات'!F14=E135,'کاربرگ ورود اطلاعات'!F13=D135),G135,0)</f>
        <v>0</v>
      </c>
    </row>
    <row r="136" spans="3:9" ht="18">
      <c r="C136" s="521">
        <v>17</v>
      </c>
      <c r="D136" s="521" t="s">
        <v>491</v>
      </c>
      <c r="E136" s="521" t="s">
        <v>493</v>
      </c>
      <c r="F136" s="521" t="s">
        <v>497</v>
      </c>
      <c r="G136" s="521">
        <v>1100</v>
      </c>
      <c r="H136" s="521" t="b">
        <f>AND('کاربرگ ورود اطلاعات'!F15=F136,'کاربرگ ورود اطلاعات'!F14=E136,'کاربرگ ورود اطلاعات'!F13=D136)</f>
        <v>0</v>
      </c>
      <c r="I136" s="521">
        <f>IF(AND('کاربرگ ورود اطلاعات'!F15=F136,'کاربرگ ورود اطلاعات'!F14=E136,'کاربرگ ورود اطلاعات'!F13=D136),G136,0)</f>
        <v>0</v>
      </c>
    </row>
    <row r="137" spans="3:9" ht="18">
      <c r="C137" s="521">
        <v>18</v>
      </c>
      <c r="D137" s="521" t="s">
        <v>491</v>
      </c>
      <c r="E137" s="521" t="s">
        <v>493</v>
      </c>
      <c r="F137" s="521" t="s">
        <v>499</v>
      </c>
      <c r="G137" s="521">
        <v>1550</v>
      </c>
      <c r="H137" s="521" t="b">
        <f>AND('کاربرگ ورود اطلاعات'!F15=F137,'کاربرگ ورود اطلاعات'!F14=E137,'کاربرگ ورود اطلاعات'!F13=D137)</f>
        <v>0</v>
      </c>
      <c r="I137" s="521">
        <f>IF(AND('کاربرگ ورود اطلاعات'!F15=F137,'کاربرگ ورود اطلاعات'!F14=E137,'کاربرگ ورود اطلاعات'!F13=D137),G137,0)</f>
        <v>0</v>
      </c>
    </row>
    <row r="138" spans="3:9" ht="18">
      <c r="C138" s="521">
        <v>19</v>
      </c>
      <c r="D138" s="521" t="s">
        <v>491</v>
      </c>
      <c r="E138" s="521" t="s">
        <v>493</v>
      </c>
      <c r="F138" s="521" t="s">
        <v>498</v>
      </c>
      <c r="G138" s="521">
        <v>2000</v>
      </c>
      <c r="H138" s="521" t="b">
        <f>AND('کاربرگ ورود اطلاعات'!F15=F138,'کاربرگ ورود اطلاعات'!F14=E138,'کاربرگ ورود اطلاعات'!F13=D138)</f>
        <v>0</v>
      </c>
      <c r="I138" s="521">
        <f>IF(AND('کاربرگ ورود اطلاعات'!F15=F138,'کاربرگ ورود اطلاعات'!F14=E138,'کاربرگ ورود اطلاعات'!F13=D138),G138,0)</f>
        <v>0</v>
      </c>
    </row>
    <row r="139" spans="3:9" ht="18">
      <c r="C139" s="521">
        <v>20</v>
      </c>
      <c r="D139" s="521" t="s">
        <v>491</v>
      </c>
      <c r="E139" s="521" t="s">
        <v>493</v>
      </c>
      <c r="F139" s="521" t="s">
        <v>500</v>
      </c>
      <c r="G139" s="521">
        <v>2450</v>
      </c>
      <c r="H139" s="521" t="b">
        <f>AND('کاربرگ ورود اطلاعات'!F15=F139,'کاربرگ ورود اطلاعات'!F14=E139,'کاربرگ ورود اطلاعات'!F13=D139)</f>
        <v>0</v>
      </c>
      <c r="I139" s="521">
        <f>IF(AND('کاربرگ ورود اطلاعات'!F15=F139,'کاربرگ ورود اطلاعات'!F14=E139,'کاربرگ ورود اطلاعات'!F13=D139),G139,0)</f>
        <v>0</v>
      </c>
    </row>
    <row r="140" spans="3:9" ht="18">
      <c r="C140" s="521">
        <v>21</v>
      </c>
      <c r="D140" s="521" t="s">
        <v>491</v>
      </c>
      <c r="E140" s="521" t="s">
        <v>494</v>
      </c>
      <c r="F140" s="521" t="s">
        <v>496</v>
      </c>
      <c r="G140" s="521">
        <v>700</v>
      </c>
      <c r="H140" s="521" t="b">
        <f>AND('کاربرگ ورود اطلاعات'!F15=F140,'کاربرگ ورود اطلاعات'!F14=E140,'کاربرگ ورود اطلاعات'!F13=D140)</f>
        <v>0</v>
      </c>
      <c r="I140" s="521">
        <f>IF(AND('کاربرگ ورود اطلاعات'!F15=F140,'کاربرگ ورود اطلاعات'!F14=E140,'کاربرگ ورود اطلاعات'!F13=D140),G140,0)</f>
        <v>0</v>
      </c>
    </row>
    <row r="141" spans="3:9" ht="18">
      <c r="C141" s="521">
        <v>22</v>
      </c>
      <c r="D141" s="521" t="s">
        <v>491</v>
      </c>
      <c r="E141" s="521" t="s">
        <v>494</v>
      </c>
      <c r="F141" s="521" t="s">
        <v>497</v>
      </c>
      <c r="G141" s="521">
        <v>1150</v>
      </c>
      <c r="H141" s="521" t="b">
        <f>AND(F141='کاربرگ ورود اطلاعات'!F15,E141='کاربرگ ورود اطلاعات'!F14,D141='کاربرگ ورود اطلاعات'!F13)</f>
        <v>0</v>
      </c>
      <c r="I141" s="521">
        <f>IF(AND(F141='کاربرگ ورود اطلاعات'!F15,E141='کاربرگ ورود اطلاعات'!F14,D141='کاربرگ ورود اطلاعات'!F13),G141,0)</f>
        <v>0</v>
      </c>
    </row>
    <row r="142" spans="3:9" ht="18">
      <c r="C142" s="521">
        <v>23</v>
      </c>
      <c r="D142" s="521" t="s">
        <v>491</v>
      </c>
      <c r="E142" s="521" t="s">
        <v>494</v>
      </c>
      <c r="F142" s="521" t="s">
        <v>499</v>
      </c>
      <c r="G142" s="521">
        <v>1600</v>
      </c>
      <c r="H142" s="521" t="b">
        <f>AND(F142='کاربرگ ورود اطلاعات'!F15,E142='کاربرگ ورود اطلاعات'!F14,D142='کاربرگ ورود اطلاعات'!F13)</f>
        <v>0</v>
      </c>
      <c r="I142" s="521">
        <f>IF(AND(F142='کاربرگ ورود اطلاعات'!F15,E142='کاربرگ ورود اطلاعات'!F14,D142='کاربرگ ورود اطلاعات'!F13),G142,0)</f>
        <v>0</v>
      </c>
    </row>
    <row r="143" spans="3:9" ht="18">
      <c r="C143" s="521">
        <v>24</v>
      </c>
      <c r="D143" s="521" t="s">
        <v>491</v>
      </c>
      <c r="E143" s="521" t="s">
        <v>494</v>
      </c>
      <c r="F143" s="521" t="s">
        <v>498</v>
      </c>
      <c r="G143" s="521">
        <v>2050</v>
      </c>
      <c r="H143" s="521" t="b">
        <f>AND(D143='کاربرگ ورود اطلاعات'!F13,E143='کاربرگ ورود اطلاعات'!F14,F143='کاربرگ ورود اطلاعات'!F15)</f>
        <v>0</v>
      </c>
      <c r="I143" s="521">
        <f>IF(AND(D143='کاربرگ ورود اطلاعات'!F13,E143='کاربرگ ورود اطلاعات'!F14,F143='کاربرگ ورود اطلاعات'!F15),G143,0)</f>
        <v>0</v>
      </c>
    </row>
    <row r="144" spans="3:9" ht="18">
      <c r="C144" s="521">
        <v>25</v>
      </c>
      <c r="D144" s="521" t="s">
        <v>491</v>
      </c>
      <c r="E144" s="521" t="s">
        <v>494</v>
      </c>
      <c r="F144" s="521" t="s">
        <v>500</v>
      </c>
      <c r="G144" s="521">
        <v>2500</v>
      </c>
      <c r="H144" s="521" t="b">
        <f>AND('کاربرگ ورود اطلاعات'!F15=F144,'کاربرگ ورود اطلاعات'!F14=E144,'کاربرگ ورود اطلاعات'!F13=D144)</f>
        <v>0</v>
      </c>
      <c r="I144" s="521">
        <f>IF(AND('کاربرگ ورود اطلاعات'!F15=F144,'کاربرگ ورود اطلاعات'!F14=E144,'کاربرگ ورود اطلاعات'!F13=D144),G144,0)</f>
        <v>0</v>
      </c>
    </row>
    <row r="145" spans="3:9" ht="18">
      <c r="C145" s="521">
        <v>26</v>
      </c>
      <c r="D145" s="521" t="s">
        <v>491</v>
      </c>
      <c r="E145" s="521" t="s">
        <v>495</v>
      </c>
      <c r="F145" s="521" t="s">
        <v>496</v>
      </c>
      <c r="G145" s="521">
        <v>750</v>
      </c>
      <c r="H145" s="521" t="b">
        <f>AND(F145='کاربرگ ورود اطلاعات'!F15,E145='کاربرگ ورود اطلاعات'!F14,D145='کاربرگ ورود اطلاعات'!F13)</f>
        <v>0</v>
      </c>
      <c r="I145" s="521">
        <f>IF(AND(F145='کاربرگ ورود اطلاعات'!F15,E145='کاربرگ ورود اطلاعات'!F14,D145='کاربرگ ورود اطلاعات'!F13),G145,0)</f>
        <v>0</v>
      </c>
    </row>
    <row r="146" spans="3:9" ht="18">
      <c r="C146" s="521">
        <v>27</v>
      </c>
      <c r="D146" s="521" t="s">
        <v>491</v>
      </c>
      <c r="E146" s="521" t="s">
        <v>495</v>
      </c>
      <c r="F146" s="521" t="s">
        <v>497</v>
      </c>
      <c r="G146" s="521">
        <v>1200</v>
      </c>
      <c r="H146" s="521" t="b">
        <f>AND(F146='کاربرگ ورود اطلاعات'!F15,'کاربرگ ورود اطلاعات'!F14=E146,D146='کاربرگ ورود اطلاعات'!F13)</f>
        <v>0</v>
      </c>
      <c r="I146" s="521">
        <f>IF(AND(F146='کاربرگ ورود اطلاعات'!F15,'کاربرگ ورود اطلاعات'!F14=E146,D146='کاربرگ ورود اطلاعات'!F13),G146,0)</f>
        <v>0</v>
      </c>
    </row>
    <row r="147" spans="3:9" ht="18">
      <c r="C147" s="521">
        <v>28</v>
      </c>
      <c r="D147" s="521" t="s">
        <v>491</v>
      </c>
      <c r="E147" s="521" t="s">
        <v>495</v>
      </c>
      <c r="F147" s="521" t="s">
        <v>499</v>
      </c>
      <c r="G147" s="521">
        <v>1650</v>
      </c>
      <c r="H147" s="521" t="b">
        <f>AND(F147='کاربرگ ورود اطلاعات'!F15,'کاربرگ ورود اطلاعات'!F14=E147,'کاربرگ ورود اطلاعات'!F13=D147)</f>
        <v>0</v>
      </c>
      <c r="I147" s="521">
        <f>IF(AND(F147='کاربرگ ورود اطلاعات'!F15,'کاربرگ ورود اطلاعات'!F14=E147,'کاربرگ ورود اطلاعات'!F13=D147),G147,0)</f>
        <v>0</v>
      </c>
    </row>
    <row r="148" spans="3:9" ht="18">
      <c r="C148" s="521">
        <v>29</v>
      </c>
      <c r="D148" s="521" t="s">
        <v>491</v>
      </c>
      <c r="E148" s="521" t="s">
        <v>495</v>
      </c>
      <c r="F148" s="521" t="s">
        <v>498</v>
      </c>
      <c r="G148" s="521">
        <v>2100</v>
      </c>
      <c r="H148" s="521" t="b">
        <f>AND(F148='کاربرگ ورود اطلاعات'!F15,'کاربرگ ورود اطلاعات'!F14=E148,D148='کاربرگ ورود اطلاعات'!F13)</f>
        <v>0</v>
      </c>
      <c r="I148" s="521">
        <f>IF(AND(F148='کاربرگ ورود اطلاعات'!F15,'کاربرگ ورود اطلاعات'!F14=E148,D148='کاربرگ ورود اطلاعات'!F13),G148,0)</f>
        <v>0</v>
      </c>
    </row>
    <row r="149" spans="3:9" ht="18">
      <c r="C149" s="521">
        <v>30</v>
      </c>
      <c r="D149" s="521" t="s">
        <v>491</v>
      </c>
      <c r="E149" s="521" t="s">
        <v>495</v>
      </c>
      <c r="F149" s="521" t="s">
        <v>500</v>
      </c>
      <c r="G149" s="521">
        <v>2550</v>
      </c>
      <c r="H149" s="521" t="b">
        <f>AND(F149='کاربرگ ورود اطلاعات'!F15,'کاربرگ ورود اطلاعات'!F14=E149,D149='کاربرگ ورود اطلاعات'!F13)</f>
        <v>0</v>
      </c>
      <c r="I149" s="521">
        <f>IF(AND(F149='کاربرگ ورود اطلاعات'!F15,'کاربرگ ورود اطلاعات'!F14=E149,D149='کاربرگ ورود اطلاعات'!F13),G149,0)</f>
        <v>0</v>
      </c>
    </row>
    <row r="150" spans="3:9" ht="18">
      <c r="C150" s="521">
        <v>31</v>
      </c>
      <c r="D150" s="521" t="s">
        <v>492</v>
      </c>
      <c r="E150" s="521" t="s">
        <v>493</v>
      </c>
      <c r="F150" s="521" t="s">
        <v>496</v>
      </c>
      <c r="G150" s="521">
        <v>800</v>
      </c>
      <c r="H150" s="521" t="b">
        <f>AND(F150='کاربرگ ورود اطلاعات'!F15,'کاربرگ ورود اطلاعات'!F14=E150,D150='کاربرگ ورود اطلاعات'!F13)</f>
        <v>0</v>
      </c>
      <c r="I150" s="521">
        <f>IF(AND(F150='کاربرگ ورود اطلاعات'!F15,'کاربرگ ورود اطلاعات'!F14=E150,D150='کاربرگ ورود اطلاعات'!F13),G150,0)</f>
        <v>0</v>
      </c>
    </row>
    <row r="151" spans="3:9" ht="18">
      <c r="C151" s="521">
        <v>32</v>
      </c>
      <c r="D151" s="521" t="s">
        <v>492</v>
      </c>
      <c r="E151" s="521" t="s">
        <v>493</v>
      </c>
      <c r="F151" s="521" t="s">
        <v>497</v>
      </c>
      <c r="G151" s="521">
        <v>1250</v>
      </c>
      <c r="H151" s="521" t="b">
        <f>AND('کاربرگ ورود اطلاعات'!F15=F151,'کاربرگ ورود اطلاعات'!F14=E151,'کاربرگ ورود اطلاعات'!F13=D151)</f>
        <v>0</v>
      </c>
      <c r="I151" s="521">
        <f>IF(AND('کاربرگ ورود اطلاعات'!F15=F151,'کاربرگ ورود اطلاعات'!F14=E151,'کاربرگ ورود اطلاعات'!F13=D151),G151,0)</f>
        <v>0</v>
      </c>
    </row>
    <row r="152" spans="3:9" ht="18">
      <c r="C152" s="521">
        <v>33</v>
      </c>
      <c r="D152" s="521" t="s">
        <v>492</v>
      </c>
      <c r="E152" s="521" t="s">
        <v>493</v>
      </c>
      <c r="F152" s="521" t="s">
        <v>499</v>
      </c>
      <c r="G152" s="521">
        <v>1700</v>
      </c>
      <c r="H152" s="521" t="b">
        <f>AND('کاربرگ ورود اطلاعات'!F15=F152,'کاربرگ ورود اطلاعات'!F14=E152,'کاربرگ ورود اطلاعات'!F13=D152)</f>
        <v>0</v>
      </c>
      <c r="I152" s="521">
        <f>IF(AND('کاربرگ ورود اطلاعات'!F15=F152,'کاربرگ ورود اطلاعات'!F14=E152,'کاربرگ ورود اطلاعات'!F13=D152),G152,0)</f>
        <v>0</v>
      </c>
    </row>
    <row r="153" spans="3:9" ht="18">
      <c r="C153" s="521">
        <v>34</v>
      </c>
      <c r="D153" s="521" t="s">
        <v>492</v>
      </c>
      <c r="E153" s="521" t="s">
        <v>493</v>
      </c>
      <c r="F153" s="521" t="s">
        <v>498</v>
      </c>
      <c r="G153" s="521">
        <v>2150</v>
      </c>
      <c r="H153" s="521" t="b">
        <f>AND('کاربرگ ورود اطلاعات'!F15=F153,'کاربرگ ورود اطلاعات'!F14=E153,'کاربرگ ورود اطلاعات'!F13=D153)</f>
        <v>0</v>
      </c>
      <c r="I153" s="521">
        <f>IF(AND('کاربرگ ورود اطلاعات'!F15=F153,'کاربرگ ورود اطلاعات'!F14=E153,'کاربرگ ورود اطلاعات'!F13=D153),G153,0)</f>
        <v>0</v>
      </c>
    </row>
    <row r="154" spans="3:9" ht="18">
      <c r="C154" s="521">
        <v>35</v>
      </c>
      <c r="D154" s="521" t="s">
        <v>492</v>
      </c>
      <c r="E154" s="521" t="s">
        <v>493</v>
      </c>
      <c r="F154" s="521" t="s">
        <v>500</v>
      </c>
      <c r="G154" s="521">
        <v>2600</v>
      </c>
      <c r="H154" s="521" t="b">
        <f>AND('کاربرگ ورود اطلاعات'!F15=F154,'کاربرگ ورود اطلاعات'!F14=E154,'کاربرگ ورود اطلاعات'!F13=D154)</f>
        <v>0</v>
      </c>
      <c r="I154" s="521">
        <f>IF(AND('کاربرگ ورود اطلاعات'!F15=F154,'کاربرگ ورود اطلاعات'!F14=E154,'کاربرگ ورود اطلاعات'!F13=D154),G154,0)</f>
        <v>0</v>
      </c>
    </row>
    <row r="155" spans="3:9" ht="18">
      <c r="C155" s="521">
        <v>36</v>
      </c>
      <c r="D155" s="521" t="s">
        <v>492</v>
      </c>
      <c r="E155" s="521" t="s">
        <v>494</v>
      </c>
      <c r="F155" s="521" t="s">
        <v>496</v>
      </c>
      <c r="G155" s="521">
        <v>850</v>
      </c>
      <c r="H155" s="521" t="b">
        <f>AND('کاربرگ ورود اطلاعات'!F15=F155,'کاربرگ ورود اطلاعات'!F14=E155,'کاربرگ ورود اطلاعات'!F13=D155)</f>
        <v>0</v>
      </c>
      <c r="I155" s="521">
        <f>IF(AND('کاربرگ ورود اطلاعات'!F15=F155,'کاربرگ ورود اطلاعات'!F14=E155,'کاربرگ ورود اطلاعات'!F13=D155),G155,0)</f>
        <v>0</v>
      </c>
    </row>
    <row r="156" spans="3:9" ht="18">
      <c r="C156" s="521">
        <v>37</v>
      </c>
      <c r="D156" s="521" t="s">
        <v>492</v>
      </c>
      <c r="E156" s="521" t="s">
        <v>494</v>
      </c>
      <c r="F156" s="521" t="s">
        <v>497</v>
      </c>
      <c r="G156" s="521">
        <v>1300</v>
      </c>
      <c r="H156" s="521" t="b">
        <f>AND('کاربرگ ورود اطلاعات'!F15=F156,'کاربرگ ورود اطلاعات'!F14=E156,'کاربرگ ورود اطلاعات'!F13=D156)</f>
        <v>0</v>
      </c>
      <c r="I156" s="521">
        <f>IF(AND('کاربرگ ورود اطلاعات'!F15=F156,'کاربرگ ورود اطلاعات'!F14=E156,'کاربرگ ورود اطلاعات'!F13=D156),G156,0)</f>
        <v>0</v>
      </c>
    </row>
    <row r="157" spans="3:9" ht="18">
      <c r="C157" s="521">
        <v>38</v>
      </c>
      <c r="D157" s="521" t="s">
        <v>492</v>
      </c>
      <c r="E157" s="521" t="s">
        <v>494</v>
      </c>
      <c r="F157" s="521" t="s">
        <v>499</v>
      </c>
      <c r="G157" s="521">
        <v>1750</v>
      </c>
      <c r="H157" s="521" t="b">
        <f>AND('کاربرگ ورود اطلاعات'!F15=F157,'کاربرگ ورود اطلاعات'!F14=E157,'کاربرگ ورود اطلاعات'!F13=D157)</f>
        <v>0</v>
      </c>
      <c r="I157" s="521">
        <f>IF(AND('کاربرگ ورود اطلاعات'!F15=F157,'کاربرگ ورود اطلاعات'!F14=E157,'کاربرگ ورود اطلاعات'!F13=D157),G157,0)</f>
        <v>0</v>
      </c>
    </row>
    <row r="158" spans="3:9" ht="18">
      <c r="C158" s="521">
        <v>39</v>
      </c>
      <c r="D158" s="521" t="s">
        <v>492</v>
      </c>
      <c r="E158" s="521" t="s">
        <v>494</v>
      </c>
      <c r="F158" s="521" t="s">
        <v>498</v>
      </c>
      <c r="G158" s="521">
        <v>2200</v>
      </c>
      <c r="H158" s="521" t="b">
        <f>AND('کاربرگ ورود اطلاعات'!F15=F158,'کاربرگ ورود اطلاعات'!F14=E158,'کاربرگ ورود اطلاعات'!F13=D158)</f>
        <v>0</v>
      </c>
      <c r="I158" s="521">
        <f>IF(AND('کاربرگ ورود اطلاعات'!F15=F158,'کاربرگ ورود اطلاعات'!F14=E158,'کاربرگ ورود اطلاعات'!F13=D158),G158,0)</f>
        <v>0</v>
      </c>
    </row>
    <row r="159" spans="3:9" ht="18">
      <c r="C159" s="521">
        <v>40</v>
      </c>
      <c r="D159" s="521" t="s">
        <v>492</v>
      </c>
      <c r="E159" s="521" t="s">
        <v>494</v>
      </c>
      <c r="F159" s="521" t="s">
        <v>500</v>
      </c>
      <c r="G159" s="521">
        <v>2650</v>
      </c>
      <c r="H159" s="521" t="b">
        <f>AND('کاربرگ ورود اطلاعات'!F15=F159,'کاربرگ ورود اطلاعات'!F14=E159,'کاربرگ ورود اطلاعات'!F13=D159)</f>
        <v>0</v>
      </c>
      <c r="I159" s="521">
        <f>IF(AND('کاربرگ ورود اطلاعات'!F15=F159,'کاربرگ ورود اطلاعات'!F14=E159,'کاربرگ ورود اطلاعات'!F13=D159),G159,0)</f>
        <v>0</v>
      </c>
    </row>
    <row r="160" spans="3:9" ht="18">
      <c r="C160" s="521">
        <v>41</v>
      </c>
      <c r="D160" s="521" t="s">
        <v>492</v>
      </c>
      <c r="E160" s="521" t="s">
        <v>495</v>
      </c>
      <c r="F160" s="521" t="s">
        <v>496</v>
      </c>
      <c r="G160" s="521">
        <v>900</v>
      </c>
      <c r="H160" s="521" t="b">
        <f>AND('کاربرگ ورود اطلاعات'!F15=F160,'کاربرگ ورود اطلاعات'!F14=E160,'کاربرگ ورود اطلاعات'!F13=D160)</f>
        <v>0</v>
      </c>
      <c r="I160" s="521">
        <f>IF(AND('کاربرگ ورود اطلاعات'!F15=F160,'کاربرگ ورود اطلاعات'!F14=E160,'کاربرگ ورود اطلاعات'!F13=D160),G160,0)</f>
        <v>0</v>
      </c>
    </row>
    <row r="161" spans="2:9" ht="18">
      <c r="C161" s="521">
        <v>42</v>
      </c>
      <c r="D161" s="521" t="s">
        <v>492</v>
      </c>
      <c r="E161" s="521" t="s">
        <v>495</v>
      </c>
      <c r="F161" s="521" t="s">
        <v>497</v>
      </c>
      <c r="G161" s="521">
        <v>1350</v>
      </c>
      <c r="H161" s="521" t="b">
        <f>AND('کاربرگ ورود اطلاعات'!F15=F161,'کاربرگ ورود اطلاعات'!F14=E161,'کاربرگ ورود اطلاعات'!F13=D161)</f>
        <v>0</v>
      </c>
      <c r="I161" s="521">
        <f>IF(AND('کاربرگ ورود اطلاعات'!F15=F161,'کاربرگ ورود اطلاعات'!F14=E161,'کاربرگ ورود اطلاعات'!F13=D161),G161,0)</f>
        <v>0</v>
      </c>
    </row>
    <row r="162" spans="2:9" ht="18">
      <c r="C162" s="521">
        <v>43</v>
      </c>
      <c r="D162" s="521" t="s">
        <v>492</v>
      </c>
      <c r="E162" s="521" t="s">
        <v>495</v>
      </c>
      <c r="F162" s="521" t="s">
        <v>499</v>
      </c>
      <c r="G162" s="521">
        <v>1800</v>
      </c>
      <c r="H162" s="521" t="b">
        <f>AND('کاربرگ ورود اطلاعات'!F15=F162,'کاربرگ ورود اطلاعات'!F14=E162,'کاربرگ ورود اطلاعات'!F13=D162)</f>
        <v>0</v>
      </c>
      <c r="I162" s="521">
        <f>IF(AND('کاربرگ ورود اطلاعات'!F15=F162,'کاربرگ ورود اطلاعات'!F14=E162,'کاربرگ ورود اطلاعات'!F13=D162),G162,0)</f>
        <v>0</v>
      </c>
    </row>
    <row r="163" spans="2:9" ht="18">
      <c r="C163" s="521">
        <v>44</v>
      </c>
      <c r="D163" s="521" t="s">
        <v>492</v>
      </c>
      <c r="E163" s="521" t="s">
        <v>495</v>
      </c>
      <c r="F163" s="521" t="s">
        <v>498</v>
      </c>
      <c r="G163" s="521">
        <v>2250</v>
      </c>
      <c r="H163" s="521" t="b">
        <f>AND('کاربرگ ورود اطلاعات'!F15=F163,'کاربرگ ورود اطلاعات'!F14=E163,'کاربرگ ورود اطلاعات'!F13=D163)</f>
        <v>0</v>
      </c>
      <c r="I163" s="521">
        <f>IF(AND('کاربرگ ورود اطلاعات'!F15=F163,'کاربرگ ورود اطلاعات'!F14=E163,'کاربرگ ورود اطلاعات'!F13=D163),G163,0)</f>
        <v>0</v>
      </c>
    </row>
    <row r="164" spans="2:9" ht="18.75" thickBot="1">
      <c r="C164" s="521">
        <v>45</v>
      </c>
      <c r="D164" s="521" t="s">
        <v>492</v>
      </c>
      <c r="E164" s="521" t="s">
        <v>495</v>
      </c>
      <c r="F164" s="521" t="s">
        <v>500</v>
      </c>
      <c r="G164" s="521">
        <v>2700</v>
      </c>
      <c r="H164" s="521" t="b">
        <f>AND('کاربرگ ورود اطلاعات'!F15=F164,'کاربرگ ورود اطلاعات'!F14=E164,'کاربرگ ورود اطلاعات'!F13=D164)</f>
        <v>0</v>
      </c>
      <c r="I164" s="523">
        <f>IF(AND('کاربرگ ورود اطلاعات'!F15=F164,'کاربرگ ورود اطلاعات'!F14=E164,'کاربرگ ورود اطلاعات'!F13=D164),G164,0)</f>
        <v>0</v>
      </c>
    </row>
    <row r="165" spans="2:9" ht="18.75" thickBot="1">
      <c r="C165" s="943" t="s">
        <v>122</v>
      </c>
      <c r="D165" s="943"/>
      <c r="E165" s="943"/>
      <c r="F165" s="943"/>
      <c r="G165" s="943"/>
      <c r="H165" s="944"/>
      <c r="I165" s="524">
        <f>SUM(I120:I164)</f>
        <v>0</v>
      </c>
    </row>
    <row r="166" spans="2:9" ht="13.5" customHeight="1"/>
    <row r="167" spans="2:9" s="525" customFormat="1"/>
    <row r="169" spans="2:9" ht="21">
      <c r="B169" s="698" t="s">
        <v>544</v>
      </c>
      <c r="C169" s="698"/>
      <c r="D169" s="698"/>
      <c r="E169" s="698"/>
      <c r="F169" s="614">
        <f>SUM('کاربرگ قرارداد'!H20:H31)</f>
        <v>16569920</v>
      </c>
    </row>
    <row r="170" spans="2:9" ht="21">
      <c r="B170" s="706" t="s">
        <v>474</v>
      </c>
      <c r="C170" s="706"/>
      <c r="D170" s="706"/>
      <c r="E170" s="706"/>
      <c r="F170" s="615">
        <v>15160000</v>
      </c>
    </row>
    <row r="171" spans="2:9" ht="21">
      <c r="B171" s="706" t="s">
        <v>478</v>
      </c>
      <c r="C171" s="706"/>
      <c r="D171" s="706"/>
      <c r="E171" s="706"/>
      <c r="F171" s="615">
        <v>15630000</v>
      </c>
    </row>
    <row r="173" spans="2:9" ht="21">
      <c r="B173" s="942" t="s">
        <v>477</v>
      </c>
      <c r="C173" s="942"/>
      <c r="D173" s="942"/>
      <c r="E173" s="942"/>
      <c r="F173" s="613">
        <f>SUM('کاربرگ قرارداد'!H20,'کاربرگ قرارداد'!H21,'کاربرگ قرارداد'!H22,'کاربرگ قرارداد'!H25,'کاربرگ قرارداد'!H26,'کاربرگ قرارداد'!H27,'کاربرگ قرارداد'!H28)</f>
        <v>16569920</v>
      </c>
    </row>
  </sheetData>
  <mergeCells count="34">
    <mergeCell ref="T82:U82"/>
    <mergeCell ref="M93:O93"/>
    <mergeCell ref="T84:U84"/>
    <mergeCell ref="T86:U86"/>
    <mergeCell ref="T88:U88"/>
    <mergeCell ref="B63:C63"/>
    <mergeCell ref="G27:H27"/>
    <mergeCell ref="B90:C90"/>
    <mergeCell ref="B91:C91"/>
    <mergeCell ref="B92:C92"/>
    <mergeCell ref="D69:I69"/>
    <mergeCell ref="E71:F71"/>
    <mergeCell ref="E72:F72"/>
    <mergeCell ref="E73:F73"/>
    <mergeCell ref="E75:F75"/>
    <mergeCell ref="E76:F76"/>
    <mergeCell ref="Q11:R11"/>
    <mergeCell ref="Q20:R20"/>
    <mergeCell ref="D58:L58"/>
    <mergeCell ref="D59:L59"/>
    <mergeCell ref="H76:L76"/>
    <mergeCell ref="H71:L71"/>
    <mergeCell ref="H72:L72"/>
    <mergeCell ref="H75:L75"/>
    <mergeCell ref="J63:L63"/>
    <mergeCell ref="I61:K61"/>
    <mergeCell ref="F61:G61"/>
    <mergeCell ref="D61:E61"/>
    <mergeCell ref="B173:E173"/>
    <mergeCell ref="C165:H165"/>
    <mergeCell ref="E74:F74"/>
    <mergeCell ref="B169:E169"/>
    <mergeCell ref="B170:E170"/>
    <mergeCell ref="B171:E171"/>
  </mergeCells>
  <dataValidations count="5">
    <dataValidation type="list" allowBlank="1" showInputMessage="1" showErrorMessage="1" sqref="L61 G65:G66 D65:D66">
      <formula1>$O$1:$O$31</formula1>
    </dataValidation>
    <dataValidation type="list" allowBlank="1" showInputMessage="1" showErrorMessage="1" sqref="F61:G61">
      <formula1>$M$1:$M$5</formula1>
    </dataValidation>
    <dataValidation type="list" allowBlank="1" showInputMessage="1" showErrorMessage="1" sqref="C65:C66">
      <formula1>$N$21:$N$22</formula1>
    </dataValidation>
    <dataValidation type="list" allowBlank="1" showInputMessage="1" showErrorMessage="1" sqref="E65:E66 H65:H66">
      <formula1>$O$1:$O$13</formula1>
    </dataValidation>
    <dataValidation type="list" allowBlank="1" showInputMessage="1" showErrorMessage="1" sqref="F65:F66 I65:I66">
      <formula1>$C$1:$C$52</formula1>
    </dataValidation>
  </dataValidation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E35"/>
  <sheetViews>
    <sheetView rightToLeft="1" zoomScaleNormal="100" zoomScaleSheetLayoutView="100" workbookViewId="0">
      <selection activeCell="A5" sqref="A5"/>
    </sheetView>
  </sheetViews>
  <sheetFormatPr defaultColWidth="9" defaultRowHeight="14.25"/>
  <cols>
    <col min="1" max="1" width="35" style="6" customWidth="1"/>
    <col min="2" max="2" width="7.625" style="6" customWidth="1"/>
    <col min="3" max="3" width="14.75" style="6" bestFit="1" customWidth="1"/>
    <col min="4" max="4" width="14.125" style="6" bestFit="1" customWidth="1"/>
    <col min="5" max="5" width="22.125" style="6" customWidth="1"/>
    <col min="6" max="16384" width="9" style="6"/>
  </cols>
  <sheetData>
    <row r="1" spans="1:5" ht="26.25">
      <c r="A1" s="983" t="s">
        <v>54</v>
      </c>
      <c r="B1" s="984"/>
      <c r="C1" s="987"/>
      <c r="E1" s="979"/>
    </row>
    <row r="2" spans="1:5" ht="15">
      <c r="A2" s="989" t="s">
        <v>181</v>
      </c>
      <c r="B2" s="990"/>
      <c r="C2" s="987"/>
      <c r="E2" s="980"/>
    </row>
    <row r="3" spans="1:5" ht="15.75" thickBot="1">
      <c r="A3" s="985" t="s">
        <v>182</v>
      </c>
      <c r="B3" s="986"/>
      <c r="C3" s="988"/>
      <c r="E3" s="981"/>
    </row>
    <row r="4" spans="1:5" ht="48" thickBot="1">
      <c r="A4" s="186" t="s">
        <v>0</v>
      </c>
      <c r="B4" s="186" t="s">
        <v>1</v>
      </c>
      <c r="C4" s="318" t="s">
        <v>326</v>
      </c>
      <c r="D4" s="318" t="s">
        <v>325</v>
      </c>
      <c r="E4" s="318" t="s">
        <v>327</v>
      </c>
    </row>
    <row r="5" spans="1:5" ht="21">
      <c r="A5" s="7" t="s">
        <v>6</v>
      </c>
      <c r="B5" s="207">
        <f>محاسبات!R26</f>
        <v>5400</v>
      </c>
      <c r="C5" s="8">
        <f>B5*محاسبات!B5</f>
        <v>9703800</v>
      </c>
      <c r="D5" s="8">
        <f>C5*محاسبات!G142%</f>
        <v>713677.38266880007</v>
      </c>
      <c r="E5" s="319">
        <f>D5+C5</f>
        <v>10417477.382668801</v>
      </c>
    </row>
    <row r="6" spans="1:5" ht="21">
      <c r="A6" s="9" t="s">
        <v>7</v>
      </c>
      <c r="B6" s="208">
        <f>IF(محاسبات!G134=محاسبات!F1,0,محاسبات!M24)</f>
        <v>0</v>
      </c>
      <c r="C6" s="10">
        <f>B6*محاسبات!B5</f>
        <v>0</v>
      </c>
      <c r="D6" s="8">
        <f>C6*محاسبات!G142%</f>
        <v>0</v>
      </c>
      <c r="E6" s="319">
        <f>D6+C6</f>
        <v>0</v>
      </c>
    </row>
    <row r="7" spans="1:5" ht="21">
      <c r="A7" s="9" t="s">
        <v>8</v>
      </c>
      <c r="B7" s="208">
        <f>'جدول محاسبه حق شاغل'!E18</f>
        <v>3270</v>
      </c>
      <c r="C7" s="10">
        <f>B7*محاسبات!B5</f>
        <v>5876190</v>
      </c>
      <c r="D7" s="8">
        <f>C7*محاسبات!G142%</f>
        <v>432171.30394944001</v>
      </c>
      <c r="E7" s="319">
        <f>D7+C7</f>
        <v>6308361.3039494399</v>
      </c>
    </row>
    <row r="8" spans="1:5" ht="21">
      <c r="A8" s="9" t="s">
        <v>9</v>
      </c>
      <c r="B8" s="209">
        <f>SUM(B5:B7)</f>
        <v>8670</v>
      </c>
      <c r="C8" s="10">
        <f>SUM(C5:C7)</f>
        <v>15579990</v>
      </c>
      <c r="D8" s="8">
        <f>حکم!D5+حکم!D6+حکم!D7</f>
        <v>1145848.6866182401</v>
      </c>
      <c r="E8" s="319">
        <f>E5+E6+E7</f>
        <v>16725838.686618241</v>
      </c>
    </row>
    <row r="9" spans="1:5" ht="21">
      <c r="A9" s="9" t="s">
        <v>10</v>
      </c>
      <c r="B9" s="209"/>
      <c r="C9" s="10">
        <f>محاسبات!E134</f>
        <v>0</v>
      </c>
      <c r="D9" s="8">
        <v>0</v>
      </c>
      <c r="E9" s="319">
        <f t="shared" ref="E9:E24" si="0">D9+C9</f>
        <v>0</v>
      </c>
    </row>
    <row r="10" spans="1:5" ht="21">
      <c r="A10" s="9" t="s">
        <v>11</v>
      </c>
      <c r="B10" s="208">
        <f>محاسبات!C22</f>
        <v>1500</v>
      </c>
      <c r="C10" s="10">
        <f>B10*محاسبات!B5</f>
        <v>2695500</v>
      </c>
      <c r="D10" s="8">
        <f>C10*محاسبات!G142%</f>
        <v>198243.71740800003</v>
      </c>
      <c r="E10" s="319">
        <f t="shared" si="0"/>
        <v>2893743.717408</v>
      </c>
    </row>
    <row r="11" spans="1:5" ht="21">
      <c r="A11" s="9" t="s">
        <v>12</v>
      </c>
      <c r="B11" s="209"/>
      <c r="C11" s="10">
        <f>محاسبات!D92</f>
        <v>0</v>
      </c>
      <c r="D11" s="8">
        <f>C11*محاسبات!G142%</f>
        <v>0</v>
      </c>
      <c r="E11" s="319">
        <f>IF(محاسبات!E146=محاسبات!F1,0,C11+D11)</f>
        <v>0</v>
      </c>
    </row>
    <row r="12" spans="1:5" ht="21">
      <c r="A12" s="9" t="s">
        <v>13</v>
      </c>
      <c r="B12" s="209"/>
      <c r="C12" s="10">
        <f>'کاربرگ ورود اطلاعات'!I19*(C8+C9)</f>
        <v>0</v>
      </c>
      <c r="D12" s="8">
        <v>0</v>
      </c>
      <c r="E12" s="319">
        <f>SUM(E5:E7,E9)*'کاربرگ ورود اطلاعات'!I19</f>
        <v>0</v>
      </c>
    </row>
    <row r="13" spans="1:5" ht="21">
      <c r="A13" s="9" t="s">
        <v>14</v>
      </c>
      <c r="B13" s="209"/>
      <c r="C13" s="10">
        <f>'کاربرگ ورود اطلاعات'!I20*(C8+C9)</f>
        <v>0</v>
      </c>
      <c r="D13" s="8">
        <v>0</v>
      </c>
      <c r="E13" s="319">
        <f>SUM(E5:E7,E9)*'کاربرگ ورود اطلاعات'!I20</f>
        <v>0</v>
      </c>
    </row>
    <row r="14" spans="1:5" ht="21">
      <c r="A14" s="9" t="s">
        <v>15</v>
      </c>
      <c r="B14" s="209"/>
      <c r="C14" s="10"/>
      <c r="D14" s="8">
        <v>0</v>
      </c>
      <c r="E14" s="319">
        <f t="shared" si="0"/>
        <v>0</v>
      </c>
    </row>
    <row r="15" spans="1:5" ht="21">
      <c r="A15" s="9" t="s">
        <v>16</v>
      </c>
      <c r="B15" s="208">
        <f>محاسبات!F128</f>
        <v>0</v>
      </c>
      <c r="C15" s="10">
        <f>B15*محاسبات!B5</f>
        <v>0</v>
      </c>
      <c r="D15" s="8">
        <f>C15*محاسبات!G142%</f>
        <v>0</v>
      </c>
      <c r="E15" s="319">
        <f t="shared" si="0"/>
        <v>0</v>
      </c>
    </row>
    <row r="16" spans="1:5" ht="21">
      <c r="A16" s="9" t="s">
        <v>17</v>
      </c>
      <c r="B16" s="209"/>
      <c r="C16" s="10">
        <f>محاسبات!E5</f>
        <v>0</v>
      </c>
      <c r="D16" s="8">
        <v>0</v>
      </c>
      <c r="E16" s="319">
        <f t="shared" si="0"/>
        <v>0</v>
      </c>
    </row>
    <row r="17" spans="1:5" ht="21">
      <c r="A17" s="9" t="s">
        <v>18</v>
      </c>
      <c r="B17" s="208">
        <f>محاسبات!F17</f>
        <v>0</v>
      </c>
      <c r="C17" s="10">
        <f>B17*محاسبات!B5</f>
        <v>0</v>
      </c>
      <c r="D17" s="8">
        <v>0</v>
      </c>
      <c r="E17" s="319">
        <f t="shared" si="0"/>
        <v>0</v>
      </c>
    </row>
    <row r="18" spans="1:5" ht="21">
      <c r="A18" s="9" t="s">
        <v>253</v>
      </c>
      <c r="B18" s="208">
        <f>محاسبات!D88</f>
        <v>0</v>
      </c>
      <c r="C18" s="10">
        <f>B18*محاسبات!B12</f>
        <v>0</v>
      </c>
      <c r="D18" s="8">
        <v>0</v>
      </c>
      <c r="E18" s="319">
        <f t="shared" si="0"/>
        <v>0</v>
      </c>
    </row>
    <row r="19" spans="1:5" ht="21">
      <c r="A19" s="9" t="s">
        <v>19</v>
      </c>
      <c r="B19" s="208">
        <f>'کاربرگ ورود اطلاعات'!I10</f>
        <v>0</v>
      </c>
      <c r="C19" s="10">
        <f>'کاربرگ ورود اطلاعات'!I10*محاسبات!B5</f>
        <v>0</v>
      </c>
      <c r="D19" s="8">
        <f>C19*محاسبات!G142%</f>
        <v>0</v>
      </c>
      <c r="E19" s="319">
        <f t="shared" si="0"/>
        <v>0</v>
      </c>
    </row>
    <row r="20" spans="1:5" ht="21">
      <c r="A20" s="9" t="s">
        <v>63</v>
      </c>
      <c r="B20" s="208">
        <f>محاسبات!P11</f>
        <v>0</v>
      </c>
      <c r="C20" s="10">
        <f>B20*محاسبات!B12</f>
        <v>0</v>
      </c>
      <c r="D20" s="8">
        <v>0</v>
      </c>
      <c r="E20" s="319">
        <f t="shared" si="0"/>
        <v>0</v>
      </c>
    </row>
    <row r="21" spans="1:5" ht="21">
      <c r="A21" s="9" t="s">
        <v>20</v>
      </c>
      <c r="B21" s="208">
        <f>محاسبات!S13</f>
        <v>0</v>
      </c>
      <c r="C21" s="10">
        <f>B21*محاسبات!B12</f>
        <v>0</v>
      </c>
      <c r="D21" s="8">
        <v>0</v>
      </c>
      <c r="E21" s="319">
        <f t="shared" si="0"/>
        <v>0</v>
      </c>
    </row>
    <row r="22" spans="1:5" ht="21">
      <c r="A22" s="9" t="s">
        <v>21</v>
      </c>
      <c r="B22" s="209"/>
      <c r="C22" s="10">
        <f>محاسبات!E24</f>
        <v>0</v>
      </c>
      <c r="D22" s="8">
        <v>0</v>
      </c>
      <c r="E22" s="319">
        <f>E5*'کاربرگ ورود اطلاعات'!I18</f>
        <v>0</v>
      </c>
    </row>
    <row r="23" spans="1:5" ht="21">
      <c r="A23" s="9" t="s">
        <v>22</v>
      </c>
      <c r="B23" s="209"/>
      <c r="C23" s="10">
        <f>محاسبات!E135</f>
        <v>0</v>
      </c>
      <c r="D23" s="8">
        <v>0</v>
      </c>
      <c r="E23" s="319">
        <f t="shared" si="0"/>
        <v>0</v>
      </c>
    </row>
    <row r="24" spans="1:5" ht="21.75" thickBot="1">
      <c r="A24" s="11" t="s">
        <v>240</v>
      </c>
      <c r="B24" s="210"/>
      <c r="C24" s="12">
        <f>محاسبات!D69</f>
        <v>0</v>
      </c>
      <c r="D24" s="8">
        <v>0</v>
      </c>
      <c r="E24" s="319">
        <f t="shared" si="0"/>
        <v>0</v>
      </c>
    </row>
    <row r="25" spans="1:5" ht="21.75" thickBot="1">
      <c r="A25" s="13" t="s">
        <v>9</v>
      </c>
      <c r="B25" s="211">
        <f>SUM(B8:B24)</f>
        <v>10170</v>
      </c>
      <c r="C25" s="14">
        <f>SUM(C5:C7,C9:C24)</f>
        <v>18275490</v>
      </c>
      <c r="D25" s="14">
        <f>SUM(D5:D7,D9:D24)</f>
        <v>1344092.4040262401</v>
      </c>
      <c r="E25" s="14">
        <f>SUM(E5:E7,E9:E24)</f>
        <v>19619582.40402624</v>
      </c>
    </row>
    <row r="26" spans="1:5">
      <c r="A26" s="982" t="s">
        <v>237</v>
      </c>
      <c r="B26" s="982"/>
      <c r="C26" s="982"/>
      <c r="D26" s="982"/>
      <c r="E26" s="982"/>
    </row>
    <row r="27" spans="1:5" ht="15" thickBot="1"/>
    <row r="28" spans="1:5" ht="21.75" thickBot="1">
      <c r="D28" s="14">
        <f>ROUND(D25,0)</f>
        <v>1344092</v>
      </c>
      <c r="E28" s="14">
        <f>ROUND(E25,0)</f>
        <v>19619582</v>
      </c>
    </row>
    <row r="32" spans="1:5">
      <c r="A32" s="220"/>
      <c r="B32" s="220"/>
      <c r="C32" s="220"/>
    </row>
    <row r="33" spans="1:3">
      <c r="A33" s="220"/>
      <c r="B33" s="220"/>
      <c r="C33" s="220"/>
    </row>
    <row r="34" spans="1:3">
      <c r="A34" s="220"/>
      <c r="B34" s="220"/>
      <c r="C34" s="220"/>
    </row>
    <row r="35" spans="1:3">
      <c r="A35" s="220"/>
      <c r="B35" s="220"/>
      <c r="C35" s="220"/>
    </row>
  </sheetData>
  <mergeCells count="6">
    <mergeCell ref="E1:E3"/>
    <mergeCell ref="A26:E26"/>
    <mergeCell ref="A1:B1"/>
    <mergeCell ref="A3:B3"/>
    <mergeCell ref="C1:C3"/>
    <mergeCell ref="A2:B2"/>
  </mergeCells>
  <hyperlinks>
    <hyperlink ref="A26" r:id="rId1"/>
  </hyperlinks>
  <pageMargins left="0.7" right="0.7" top="0.75" bottom="0.75" header="0.3" footer="0.3"/>
  <pageSetup paperSize="11" scale="6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کاربرگ ورود اطلاعات</vt:lpstr>
      <vt:lpstr>جدول محاسبه حق شغل</vt:lpstr>
      <vt:lpstr>جدول محاسبه حق شاغل</vt:lpstr>
      <vt:lpstr>جدول محاسبات</vt:lpstr>
      <vt:lpstr>کاربرگ قرارداد</vt:lpstr>
      <vt:lpstr>'جدول محاسبات'!Print_Area</vt:lpstr>
      <vt:lpstr>'جدول محاسبه حق شاغل'!Print_Area</vt:lpstr>
      <vt:lpstr>'جدول محاسبه حق شغل'!Print_Area</vt:lpstr>
      <vt:lpstr>'فیش حقوقی'!Print_Area</vt:lpstr>
      <vt:lpstr>'کاربرگ ورود اطلاعات'!Print_Area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2020-03-02T19:00:01Z</dcterms:modified>
</cp:coreProperties>
</file>